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0" windowWidth="23520" windowHeight="10680"/>
  </bookViews>
  <sheets>
    <sheet name="1750 Accuracy Calculator" sheetId="4" r:id="rId1"/>
  </sheets>
  <definedNames>
    <definedName name="Units" localSheetId="0">'1750 Accuracy Calculator'!$Y$12:$Y$15</definedName>
    <definedName name="Units">#REF!</definedName>
  </definedNames>
  <calcPr calcId="145621"/>
</workbook>
</file>

<file path=xl/calcChain.xml><?xml version="1.0" encoding="utf-8"?>
<calcChain xmlns="http://schemas.openxmlformats.org/spreadsheetml/2006/main">
  <c r="AD59" i="4" l="1"/>
  <c r="AD58" i="4"/>
  <c r="AD57" i="4"/>
  <c r="AD56" i="4"/>
  <c r="AD55" i="4"/>
  <c r="AD54" i="4"/>
  <c r="AD53" i="4"/>
  <c r="AD52" i="4"/>
  <c r="AD51" i="4"/>
  <c r="AD50" i="4"/>
  <c r="AD49" i="4"/>
  <c r="AD48" i="4"/>
  <c r="AD47" i="4"/>
  <c r="AD46" i="4"/>
  <c r="AD45" i="4"/>
  <c r="AD44" i="4"/>
  <c r="AD43" i="4"/>
  <c r="AD42" i="4"/>
  <c r="AD41" i="4"/>
  <c r="AD40" i="4"/>
  <c r="AD39" i="4"/>
  <c r="AD38" i="4"/>
  <c r="AD33" i="4"/>
  <c r="AD32" i="4"/>
  <c r="AD31" i="4"/>
  <c r="AD30" i="4"/>
  <c r="AD29" i="4"/>
  <c r="AD28" i="4"/>
  <c r="AD27" i="4"/>
  <c r="AD26" i="4"/>
  <c r="AD25" i="4"/>
  <c r="AD24" i="4"/>
  <c r="AD23" i="4"/>
  <c r="AD22" i="4"/>
  <c r="AD21" i="4"/>
  <c r="AD20" i="4"/>
  <c r="AD19" i="4"/>
  <c r="AD18" i="4"/>
  <c r="AD17" i="4"/>
  <c r="AD16" i="4"/>
  <c r="AD15" i="4"/>
  <c r="AD14" i="4"/>
  <c r="AD13" i="4"/>
  <c r="AD12" i="4"/>
  <c r="AC41" i="4" l="1"/>
  <c r="AC38" i="4"/>
  <c r="AC15" i="4"/>
  <c r="AC12" i="4"/>
  <c r="AA12" i="4" a="1"/>
  <c r="AA12" i="4" s="1"/>
  <c r="AB12" i="4" l="1"/>
  <c r="AC17" i="4"/>
  <c r="AC40" i="4"/>
  <c r="AC43" i="4"/>
  <c r="AC42" i="4"/>
  <c r="AC14" i="4"/>
  <c r="AG58" i="4" l="1"/>
  <c r="AG54" i="4"/>
  <c r="AG50" i="4"/>
  <c r="AG46" i="4"/>
  <c r="AG42" i="4"/>
  <c r="O16" i="4" s="1"/>
  <c r="AG38" i="4"/>
  <c r="AG57" i="4"/>
  <c r="AG53" i="4"/>
  <c r="AG49" i="4"/>
  <c r="AG45" i="4"/>
  <c r="AG41" i="4"/>
  <c r="AG56" i="4"/>
  <c r="AG52" i="4"/>
  <c r="AG48" i="4"/>
  <c r="AG44" i="4"/>
  <c r="AG40" i="4"/>
  <c r="AG59" i="4"/>
  <c r="AG55" i="4"/>
  <c r="AG51" i="4"/>
  <c r="AG47" i="4"/>
  <c r="AG43" i="4"/>
  <c r="O17" i="4" s="1"/>
  <c r="AG39" i="4"/>
  <c r="AG33" i="4"/>
  <c r="AG29" i="4"/>
  <c r="AG25" i="4"/>
  <c r="AG21" i="4"/>
  <c r="AG17" i="4"/>
  <c r="D17" i="4" s="1"/>
  <c r="AG13" i="4"/>
  <c r="D13" i="4" s="1"/>
  <c r="AG32" i="4"/>
  <c r="AG28" i="4"/>
  <c r="AG24" i="4"/>
  <c r="AG20" i="4"/>
  <c r="AG16" i="4"/>
  <c r="AG12" i="4"/>
  <c r="D12" i="4" s="1"/>
  <c r="AG31" i="4"/>
  <c r="AG27" i="4"/>
  <c r="AG23" i="4"/>
  <c r="AG19" i="4"/>
  <c r="F19" i="4" s="1"/>
  <c r="AG15" i="4"/>
  <c r="E15" i="4" s="1"/>
  <c r="AG30" i="4"/>
  <c r="AG26" i="4"/>
  <c r="AG22" i="4"/>
  <c r="AG18" i="4"/>
  <c r="AG14" i="4"/>
  <c r="D14" i="4" s="1"/>
  <c r="AC45" i="4"/>
  <c r="AC19" i="4"/>
  <c r="AC44" i="4"/>
  <c r="AC16" i="4"/>
  <c r="D15" i="4" l="1"/>
  <c r="E17" i="4"/>
  <c r="AC21" i="4"/>
  <c r="AC47" i="4"/>
  <c r="P19" i="4"/>
  <c r="AC46" i="4"/>
  <c r="P18" i="4"/>
  <c r="E14" i="4"/>
  <c r="AC23" i="4"/>
  <c r="F21" i="4"/>
  <c r="AC18" i="4"/>
  <c r="D16" i="4"/>
  <c r="E16" i="4"/>
  <c r="E19" i="4"/>
  <c r="AC49" i="4" l="1"/>
  <c r="Q21" i="4"/>
  <c r="G21" i="4"/>
  <c r="F18" i="4"/>
  <c r="AC20" i="4"/>
  <c r="H23" i="4"/>
  <c r="AC25" i="4"/>
  <c r="Q20" i="4"/>
  <c r="AC48" i="4"/>
  <c r="R23" i="4" l="1"/>
  <c r="AC51" i="4"/>
  <c r="Q23" i="4"/>
  <c r="F23" i="4"/>
  <c r="G23" i="4"/>
  <c r="E18" i="4"/>
  <c r="AC50" i="4"/>
  <c r="Q22" i="4"/>
  <c r="R22" i="4"/>
  <c r="AC27" i="4"/>
  <c r="H25" i="4"/>
  <c r="G25" i="4"/>
  <c r="AC22" i="4"/>
  <c r="F20" i="4"/>
  <c r="G20" i="4"/>
  <c r="R25" i="4" l="1"/>
  <c r="AC53" i="4"/>
  <c r="S24" i="4"/>
  <c r="AC52" i="4"/>
  <c r="H22" i="4"/>
  <c r="AC24" i="4"/>
  <c r="AC29" i="4"/>
  <c r="H27" i="4"/>
  <c r="S27" i="4" l="1"/>
  <c r="AC55" i="4"/>
  <c r="S25" i="4"/>
  <c r="I27" i="4"/>
  <c r="F22" i="4"/>
  <c r="G22" i="4"/>
  <c r="R24" i="4"/>
  <c r="AC31" i="4"/>
  <c r="I29" i="4"/>
  <c r="AC26" i="4"/>
  <c r="H24" i="4"/>
  <c r="AC54" i="4"/>
  <c r="S26" i="4"/>
  <c r="AC57" i="4" l="1"/>
  <c r="G24" i="4"/>
  <c r="AC33" i="4"/>
  <c r="J31" i="4"/>
  <c r="AC56" i="4"/>
  <c r="H26" i="4"/>
  <c r="AC28" i="4"/>
  <c r="B8" i="4" l="1"/>
  <c r="AC59" i="4"/>
  <c r="AC30" i="4"/>
  <c r="I28" i="4"/>
  <c r="I26" i="4"/>
  <c r="AC58" i="4"/>
  <c r="K33" i="4"/>
  <c r="AC32" i="4" l="1"/>
  <c r="J30" i="4"/>
  <c r="K32" i="4" l="1"/>
</calcChain>
</file>

<file path=xl/sharedStrings.xml><?xml version="1.0" encoding="utf-8"?>
<sst xmlns="http://schemas.openxmlformats.org/spreadsheetml/2006/main" count="158" uniqueCount="48">
  <si>
    <t>Value</t>
  </si>
  <si>
    <t>Units</t>
  </si>
  <si>
    <t>mΩ</t>
  </si>
  <si>
    <t>Ω</t>
  </si>
  <si>
    <t>kΩ</t>
  </si>
  <si>
    <t>MΩ</t>
  </si>
  <si>
    <t>Range</t>
  </si>
  <si>
    <t>1A</t>
  </si>
  <si>
    <t>100 mA</t>
  </si>
  <si>
    <t>10 mA</t>
  </si>
  <si>
    <t>1 mA</t>
  </si>
  <si>
    <t>100 µA</t>
  </si>
  <si>
    <t>10 µA</t>
  </si>
  <si>
    <t>1 µA</t>
  </si>
  <si>
    <t>100 nA</t>
  </si>
  <si>
    <t>Reference Current</t>
  </si>
  <si>
    <t>2 mΩ</t>
  </si>
  <si>
    <t>20 mΩ</t>
  </si>
  <si>
    <t>200 mΩ</t>
  </si>
  <si>
    <t>2 Ω</t>
  </si>
  <si>
    <t>20 Ω</t>
  </si>
  <si>
    <t>200 Ω</t>
  </si>
  <si>
    <t>2 kΩ</t>
  </si>
  <si>
    <t>20 kΩ</t>
  </si>
  <si>
    <t>200 kΩ</t>
  </si>
  <si>
    <t>2 MΩ</t>
  </si>
  <si>
    <t>20 MΩ</t>
  </si>
  <si>
    <t>Upper</t>
  </si>
  <si>
    <t>Lower</t>
  </si>
  <si>
    <t>Tolerance</t>
  </si>
  <si>
    <t>DUT Value</t>
  </si>
  <si>
    <t>Range Value</t>
  </si>
  <si>
    <t>Multiplier</t>
  </si>
  <si>
    <t>DUT Multiplier</t>
  </si>
  <si>
    <t>Range Units</t>
  </si>
  <si>
    <t>Calc Value</t>
  </si>
  <si>
    <t>Fast Trigger Mode</t>
  </si>
  <si>
    <t>Delay Trigger Mode</t>
  </si>
  <si>
    <t>- Input the Device Under Test (DUT) measured value and units into cells B6 and C6 respectively</t>
  </si>
  <si>
    <t xml:space="preserve">   TEGAM 1740 and 1750 Microohmmeter Accuracy Calculator</t>
  </si>
  <si>
    <t>1750 Accuracy Calculator, v2.0, April 2016</t>
  </si>
  <si>
    <t xml:space="preserve">* This calculator is provided AS IS, and is for REFERENCE USE ONLY. Complete accuracy specifications can be found in the TEGAM 1740 and 1750 Instruction Manuals. Please visit tegam.com for further information. </t>
  </si>
  <si>
    <t>- 1A ranges not applicable to model 1740</t>
  </si>
  <si>
    <t>- Ranges applicable to the selected DUT will display the measurement accuracy range*</t>
  </si>
  <si>
    <t>Device Under Test (DUT)</t>
  </si>
  <si>
    <t>Divisor</t>
  </si>
  <si>
    <t>0.5% Range Value</t>
  </si>
  <si>
    <t>- Measurement accuracy range values may be rounded using conventional rounding methods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</si>
</sst>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00"/>
    <numFmt numFmtId="165" formatCode="0.000"/>
    <numFmt numFmtId="166" formatCode="#0.000"/>
    <numFmt numFmtId="167" formatCode="###\ ###\ ###\ ###\ ###.###\ ###\ ###"/>
    <numFmt numFmtId="168" formatCode="###\ ###\ ###\ ###\ ###.###\ ###\ ###\ ###\ ###"/>
  </numFmts>
  <fonts count="10" x14ac:knownFonts="1">
    <font>
      <sz val="11"/>
      <color theme="1"/>
      <name val="Calibri"/>
      <family val="2"/>
      <scheme val="minor"/>
    </font>
    <font>
      <sz val="10"/>
      <color theme="1"/>
      <name val="Century Gothic"/>
      <family val="2"/>
    </font>
    <font>
      <b/>
      <sz val="10"/>
      <color theme="1"/>
      <name val="Century Gothic"/>
      <family val="2"/>
    </font>
    <font>
      <b/>
      <sz val="10"/>
      <color rgb="FFFF0000"/>
      <name val="Century Gothic"/>
      <family val="2"/>
    </font>
    <font>
      <b/>
      <sz val="10"/>
      <color theme="0"/>
      <name val="Century Gothic"/>
      <family val="2"/>
    </font>
    <font>
      <u/>
      <sz val="11"/>
      <color theme="10"/>
      <name val="Calibri"/>
      <family val="2"/>
      <scheme val="minor"/>
    </font>
    <font>
      <sz val="26"/>
      <name val="Century Gothic"/>
      <family val="2"/>
    </font>
    <font>
      <b/>
      <u/>
      <sz val="11"/>
      <color rgb="FF007272"/>
      <name val="Calibri"/>
      <family val="2"/>
      <scheme val="minor"/>
    </font>
    <font>
      <i/>
      <sz val="8"/>
      <color theme="1"/>
      <name val="Century Gothic"/>
      <family val="2"/>
    </font>
    <font>
      <i/>
      <sz val="8"/>
      <color theme="1"/>
      <name val="Calibri"/>
      <family val="2"/>
      <scheme val="minor"/>
    </font>
  </fonts>
  <fills count="8">
    <fill>
      <patternFill patternType="none"/>
    </fill>
    <fill>
      <patternFill patternType="gray125"/>
    </fill>
    <fill>
      <patternFill patternType="gray125">
        <fgColor auto="1"/>
      </patternFill>
    </fill>
    <fill>
      <patternFill patternType="solid">
        <fgColor rgb="FF007272"/>
        <bgColor indexed="64"/>
      </patternFill>
    </fill>
    <fill>
      <patternFill patternType="gray125">
        <fgColor auto="1"/>
        <bgColor auto="1"/>
      </patternFill>
    </fill>
    <fill>
      <patternFill patternType="gray125">
        <bgColor auto="1"/>
      </patternFill>
    </fill>
    <fill>
      <patternFill patternType="gray125">
        <fgColor rgb="FFFFFF00"/>
      </patternFill>
    </fill>
    <fill>
      <patternFill patternType="solid">
        <fgColor auto="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0070C0"/>
      </left>
      <right style="thick">
        <color rgb="FF0070C0"/>
      </right>
      <top style="thick">
        <color rgb="FF0070C0"/>
      </top>
      <bottom style="thick">
        <color rgb="FF0070C0"/>
      </bottom>
      <diagonal/>
    </border>
  </borders>
  <cellStyleXfs count="2">
    <xf numFmtId="0" fontId="0" fillId="0" borderId="0"/>
    <xf numFmtId="0" fontId="5" fillId="0" borderId="0" applyNumberFormat="0" applyFill="0" applyBorder="0" applyAlignment="0" applyProtection="0"/>
  </cellStyleXfs>
  <cellXfs count="79">
    <xf numFmtId="0" fontId="0" fillId="0" borderId="0" xfId="0"/>
    <xf numFmtId="0" fontId="1" fillId="0" borderId="0" xfId="0" applyFont="1"/>
    <xf numFmtId="0" fontId="2" fillId="0" borderId="0" xfId="0" applyFont="1" applyAlignment="1">
      <alignment horizontal="left"/>
    </xf>
    <xf numFmtId="0" fontId="1" fillId="0" borderId="0" xfId="0" applyFont="1" applyAlignment="1">
      <alignment horizontal="left"/>
    </xf>
    <xf numFmtId="0" fontId="5" fillId="0" borderId="0" xfId="1"/>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0" xfId="0" applyFont="1" applyProtection="1"/>
    <xf numFmtId="0" fontId="1" fillId="0" borderId="0" xfId="0" quotePrefix="1" applyFont="1" applyAlignment="1" applyProtection="1">
      <alignment vertical="center"/>
    </xf>
    <xf numFmtId="0" fontId="2" fillId="6" borderId="3" xfId="0" applyFont="1" applyFill="1" applyBorder="1" applyAlignment="1" applyProtection="1">
      <alignment vertical="center"/>
    </xf>
    <xf numFmtId="0" fontId="2" fillId="6" borderId="1" xfId="0" applyFont="1" applyFill="1" applyBorder="1" applyAlignment="1" applyProtection="1">
      <alignment vertical="center"/>
    </xf>
    <xf numFmtId="0" fontId="1" fillId="0" borderId="10" xfId="0" applyFont="1" applyFill="1" applyBorder="1" applyProtection="1"/>
    <xf numFmtId="0" fontId="1" fillId="7" borderId="3" xfId="0" applyFont="1" applyFill="1" applyBorder="1" applyProtection="1"/>
    <xf numFmtId="0" fontId="1" fillId="4" borderId="2" xfId="0" applyFont="1" applyFill="1" applyBorder="1" applyProtection="1"/>
    <xf numFmtId="0" fontId="1" fillId="4" borderId="8" xfId="0" applyFont="1" applyFill="1" applyBorder="1" applyProtection="1"/>
    <xf numFmtId="0" fontId="1" fillId="0" borderId="8" xfId="0" applyFont="1" applyFill="1" applyBorder="1" applyProtection="1"/>
    <xf numFmtId="0" fontId="1" fillId="4" borderId="12" xfId="0" applyFont="1" applyFill="1" applyBorder="1" applyProtection="1"/>
    <xf numFmtId="0" fontId="1" fillId="0" borderId="9" xfId="0" applyFont="1" applyFill="1" applyBorder="1" applyProtection="1"/>
    <xf numFmtId="0" fontId="1" fillId="7" borderId="4" xfId="0" applyFont="1" applyFill="1" applyBorder="1" applyProtection="1"/>
    <xf numFmtId="0" fontId="1" fillId="4" borderId="0" xfId="0" applyFont="1" applyFill="1" applyBorder="1" applyProtection="1"/>
    <xf numFmtId="0" fontId="1" fillId="4" borderId="10" xfId="0" applyFont="1" applyFill="1" applyBorder="1" applyProtection="1"/>
    <xf numFmtId="0" fontId="1" fillId="4" borderId="6" xfId="0" applyFont="1" applyFill="1" applyBorder="1" applyProtection="1"/>
    <xf numFmtId="0" fontId="1" fillId="0" borderId="10" xfId="0" applyFont="1" applyBorder="1" applyProtection="1"/>
    <xf numFmtId="166" fontId="1" fillId="7" borderId="5" xfId="0" applyNumberFormat="1" applyFont="1" applyFill="1" applyBorder="1" applyProtection="1"/>
    <xf numFmtId="165" fontId="1" fillId="7" borderId="3" xfId="0" applyNumberFormat="1" applyFont="1" applyFill="1" applyBorder="1" applyProtection="1"/>
    <xf numFmtId="0" fontId="1" fillId="2" borderId="0" xfId="0" applyFont="1" applyFill="1" applyBorder="1" applyProtection="1"/>
    <xf numFmtId="0" fontId="1" fillId="2" borderId="10" xfId="0" applyFont="1" applyFill="1" applyBorder="1" applyProtection="1"/>
    <xf numFmtId="166" fontId="1" fillId="4" borderId="6" xfId="0" applyNumberFormat="1" applyFont="1" applyFill="1" applyBorder="1" applyProtection="1"/>
    <xf numFmtId="165" fontId="1" fillId="4" borderId="0" xfId="0" applyNumberFormat="1" applyFont="1" applyFill="1" applyBorder="1" applyProtection="1"/>
    <xf numFmtId="0" fontId="1" fillId="0" borderId="9" xfId="0" applyFont="1" applyBorder="1" applyProtection="1"/>
    <xf numFmtId="165" fontId="1" fillId="7" borderId="4" xfId="0" applyNumberFormat="1" applyFont="1" applyFill="1" applyBorder="1" applyProtection="1"/>
    <xf numFmtId="165" fontId="1" fillId="4" borderId="6" xfId="0" applyNumberFormat="1" applyFont="1" applyFill="1" applyBorder="1" applyProtection="1"/>
    <xf numFmtId="0" fontId="1" fillId="7" borderId="5" xfId="0" applyFont="1" applyFill="1" applyBorder="1" applyProtection="1"/>
    <xf numFmtId="0" fontId="1" fillId="0" borderId="3" xfId="0" applyFont="1" applyFill="1" applyBorder="1" applyProtection="1"/>
    <xf numFmtId="0" fontId="1" fillId="0" borderId="4" xfId="0" applyFont="1" applyFill="1" applyBorder="1" applyProtection="1"/>
    <xf numFmtId="0" fontId="1" fillId="2" borderId="6" xfId="0" applyFont="1" applyFill="1" applyBorder="1" applyProtection="1"/>
    <xf numFmtId="164" fontId="1" fillId="7" borderId="5" xfId="0" applyNumberFormat="1" applyFont="1" applyFill="1" applyBorder="1" applyProtection="1"/>
    <xf numFmtId="164" fontId="1" fillId="7" borderId="3" xfId="0" applyNumberFormat="1" applyFont="1" applyFill="1" applyBorder="1" applyProtection="1"/>
    <xf numFmtId="164" fontId="1" fillId="0" borderId="3" xfId="0" applyNumberFormat="1" applyFont="1" applyBorder="1" applyProtection="1"/>
    <xf numFmtId="164" fontId="1" fillId="2" borderId="0" xfId="0" applyNumberFormat="1" applyFont="1" applyFill="1" applyBorder="1" applyProtection="1"/>
    <xf numFmtId="164" fontId="1" fillId="7" borderId="4" xfId="0" applyNumberFormat="1" applyFont="1" applyFill="1" applyBorder="1" applyProtection="1"/>
    <xf numFmtId="164" fontId="1" fillId="0" borderId="4" xfId="0" applyNumberFormat="1" applyFont="1" applyBorder="1" applyProtection="1"/>
    <xf numFmtId="0" fontId="1" fillId="5" borderId="0" xfId="0" applyFont="1" applyFill="1" applyBorder="1" applyProtection="1"/>
    <xf numFmtId="0" fontId="1" fillId="0" borderId="5" xfId="0" applyFont="1" applyBorder="1" applyProtection="1"/>
    <xf numFmtId="0" fontId="1" fillId="0" borderId="3" xfId="0" applyFont="1" applyBorder="1" applyProtection="1"/>
    <xf numFmtId="0" fontId="1" fillId="1" borderId="0" xfId="0" applyFont="1" applyFill="1" applyBorder="1" applyProtection="1"/>
    <xf numFmtId="0" fontId="1" fillId="0" borderId="4" xfId="0" applyFont="1" applyBorder="1" applyProtection="1"/>
    <xf numFmtId="0" fontId="1" fillId="0" borderId="5" xfId="0" applyFont="1" applyFill="1" applyBorder="1" applyProtection="1"/>
    <xf numFmtId="0" fontId="1" fillId="5" borderId="10" xfId="0" applyFont="1" applyFill="1" applyBorder="1" applyProtection="1"/>
    <xf numFmtId="0" fontId="1" fillId="4" borderId="7" xfId="0" applyFont="1" applyFill="1" applyBorder="1" applyProtection="1"/>
    <xf numFmtId="0" fontId="1" fillId="4" borderId="11" xfId="0" applyFont="1" applyFill="1" applyBorder="1" applyProtection="1"/>
    <xf numFmtId="0" fontId="1" fillId="5" borderId="9" xfId="0" applyFont="1" applyFill="1" applyBorder="1" applyProtection="1"/>
    <xf numFmtId="0" fontId="2" fillId="0" borderId="0" xfId="0" applyFont="1" applyProtection="1"/>
    <xf numFmtId="0" fontId="1" fillId="0" borderId="16" xfId="0" applyFont="1" applyBorder="1" applyAlignment="1" applyProtection="1">
      <alignment horizontal="left" vertical="center"/>
      <protection locked="0"/>
    </xf>
    <xf numFmtId="167" fontId="1" fillId="0" borderId="0" xfId="0" applyNumberFormat="1" applyFont="1"/>
    <xf numFmtId="168" fontId="1" fillId="0" borderId="0" xfId="0" applyNumberFormat="1" applyFont="1"/>
    <xf numFmtId="0" fontId="6" fillId="0" borderId="0" xfId="0" applyFont="1" applyAlignment="1" applyProtection="1">
      <alignment horizontal="left" vertical="center" wrapText="1"/>
    </xf>
    <xf numFmtId="0" fontId="0" fillId="0" borderId="0" xfId="0" applyAlignment="1" applyProtection="1">
      <alignment wrapText="1"/>
    </xf>
    <xf numFmtId="0" fontId="1" fillId="0" borderId="5" xfId="0" applyFont="1" applyBorder="1" applyAlignment="1" applyProtection="1">
      <alignment horizontal="left" vertical="center"/>
    </xf>
    <xf numFmtId="0" fontId="1" fillId="0" borderId="4" xfId="0" applyFont="1" applyBorder="1" applyAlignment="1" applyProtection="1">
      <alignment horizontal="left" vertical="center"/>
    </xf>
    <xf numFmtId="0" fontId="1" fillId="0" borderId="5" xfId="0" applyFont="1" applyFill="1" applyBorder="1" applyAlignment="1" applyProtection="1">
      <alignment horizontal="left" vertical="center"/>
    </xf>
    <xf numFmtId="0" fontId="1" fillId="0" borderId="4" xfId="0" applyFont="1" applyFill="1" applyBorder="1" applyAlignment="1" applyProtection="1">
      <alignment horizontal="left" vertical="center"/>
    </xf>
    <xf numFmtId="0" fontId="1" fillId="0" borderId="3" xfId="0" applyFont="1" applyFill="1" applyBorder="1" applyAlignment="1" applyProtection="1">
      <alignment horizontal="left" vertical="center"/>
    </xf>
    <xf numFmtId="0" fontId="1" fillId="0" borderId="0" xfId="0" applyFont="1" applyAlignment="1"/>
    <xf numFmtId="0" fontId="0" fillId="0" borderId="0" xfId="0" applyAlignment="1"/>
    <xf numFmtId="0" fontId="1" fillId="0" borderId="0" xfId="0" applyFont="1" applyAlignment="1" applyProtection="1">
      <alignment wrapText="1"/>
    </xf>
    <xf numFmtId="0" fontId="0" fillId="0" borderId="0" xfId="0" applyAlignment="1">
      <alignment wrapText="1"/>
    </xf>
    <xf numFmtId="0" fontId="8" fillId="0" borderId="2" xfId="0" applyFont="1" applyBorder="1" applyAlignment="1" applyProtection="1">
      <alignment horizontal="right" vertical="center" wrapText="1"/>
    </xf>
    <xf numFmtId="0" fontId="9" fillId="0" borderId="2" xfId="0" applyFont="1" applyBorder="1" applyAlignment="1">
      <alignment horizontal="right" vertical="center" wrapText="1"/>
    </xf>
    <xf numFmtId="0" fontId="4" fillId="3" borderId="1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8"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0" fontId="2" fillId="6" borderId="1" xfId="0" applyFont="1" applyFill="1" applyBorder="1" applyAlignment="1" applyProtection="1">
      <alignment vertical="center"/>
    </xf>
    <xf numFmtId="0" fontId="2" fillId="6" borderId="1" xfId="0" applyFont="1" applyFill="1" applyBorder="1" applyAlignment="1" applyProtection="1">
      <alignment horizontal="center" vertical="center"/>
    </xf>
    <xf numFmtId="0" fontId="7" fillId="0" borderId="0" xfId="1" applyFont="1" applyAlignment="1" applyProtection="1">
      <alignment vertical="center" wrapText="1"/>
    </xf>
    <xf numFmtId="0" fontId="7" fillId="0" borderId="0" xfId="1" applyFont="1" applyAlignment="1" applyProtection="1">
      <alignment horizontal="right" vertical="center" wrapText="1"/>
    </xf>
  </cellXfs>
  <cellStyles count="2">
    <cellStyle name="Hyperlink" xfId="1" builtinId="8"/>
    <cellStyle name="Normal" xfId="0" builtinId="0"/>
  </cellStyles>
  <dxfs count="2">
    <dxf>
      <fill>
        <patternFill patternType="gray125">
          <fgColor rgb="FFFFFF00"/>
        </patternFill>
      </fill>
    </dxf>
    <dxf>
      <fill>
        <patternFill patternType="gray125">
          <fgColor rgb="FFFFFF00"/>
        </patternFill>
      </fill>
    </dxf>
  </dxfs>
  <tableStyles count="0" defaultTableStyle="TableStyleMedium2" defaultPivotStyle="PivotStyleLight16"/>
  <colors>
    <mruColors>
      <color rgb="FF007272"/>
      <color rgb="FF003939"/>
      <color rgb="FFAFAAA3"/>
      <color rgb="FFDED85C"/>
      <color rgb="FFC2FDBF"/>
      <color rgb="FFCDEFE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69343</xdr:colOff>
      <xdr:row>0</xdr:row>
      <xdr:rowOff>58832</xdr:rowOff>
    </xdr:from>
    <xdr:to>
      <xdr:col>3</xdr:col>
      <xdr:colOff>47625</xdr:colOff>
      <xdr:row>3</xdr:row>
      <xdr:rowOff>80092</xdr:rowOff>
    </xdr:to>
    <xdr:pic>
      <xdr:nvPicPr>
        <xdr:cNvPr id="2" name="Picture 5"/>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69343" y="58832"/>
          <a:ext cx="1559432" cy="535610"/>
        </a:xfrm>
        <a:prstGeom prst="rect">
          <a:avLst/>
        </a:prstGeom>
        <a:noFill/>
        <a:ln>
          <a:noFill/>
        </a:ln>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9"/>
  <sheetViews>
    <sheetView showGridLines="0" tabSelected="1" workbookViewId="0">
      <selection activeCell="B7" sqref="B7"/>
    </sheetView>
  </sheetViews>
  <sheetFormatPr defaultRowHeight="13.5" x14ac:dyDescent="0.25"/>
  <cols>
    <col min="1" max="1" width="1.85546875" style="1" customWidth="1"/>
    <col min="2" max="2" width="10.42578125" style="1" customWidth="1"/>
    <col min="3" max="3" width="11.42578125" style="1" customWidth="1"/>
    <col min="4" max="11" width="13.28515625" style="1" customWidth="1"/>
    <col min="12" max="12" width="4.42578125" style="1" customWidth="1"/>
    <col min="13" max="13" width="10.42578125" style="1" customWidth="1"/>
    <col min="14" max="14" width="11.42578125" style="1" customWidth="1"/>
    <col min="15" max="22" width="13.28515625" style="1" customWidth="1"/>
    <col min="23" max="24" width="9.140625" style="1"/>
    <col min="25" max="25" width="9.140625" style="1" hidden="1" customWidth="1"/>
    <col min="26" max="26" width="10" style="1" hidden="1" customWidth="1"/>
    <col min="27" max="27" width="14" style="1" hidden="1" customWidth="1"/>
    <col min="28" max="28" width="11" style="1" hidden="1" customWidth="1"/>
    <col min="29" max="29" width="13.140625" style="1" hidden="1" customWidth="1"/>
    <col min="30" max="30" width="17.42578125" style="1" hidden="1" customWidth="1"/>
    <col min="31" max="32" width="11.85546875" style="1" hidden="1" customWidth="1"/>
    <col min="33" max="33" width="18.42578125" style="1" hidden="1" customWidth="1"/>
    <col min="34" max="34" width="15.140625" style="1" bestFit="1" customWidth="1"/>
    <col min="35" max="16384" width="9.140625" style="1"/>
  </cols>
  <sheetData>
    <row r="1" spans="1:34" ht="13.5" customHeight="1" x14ac:dyDescent="0.25">
      <c r="A1" s="7"/>
      <c r="B1" s="7"/>
      <c r="C1" s="7"/>
      <c r="D1" s="56" t="s">
        <v>39</v>
      </c>
      <c r="E1" s="57"/>
      <c r="F1" s="57"/>
      <c r="G1" s="57"/>
      <c r="H1" s="57"/>
      <c r="I1" s="57"/>
      <c r="J1" s="57"/>
      <c r="K1" s="57"/>
      <c r="L1" s="57"/>
      <c r="M1" s="57"/>
      <c r="N1" s="57"/>
      <c r="O1" s="57"/>
      <c r="P1" s="57"/>
      <c r="Q1" s="57"/>
      <c r="R1" s="57"/>
      <c r="S1" s="57"/>
      <c r="T1" s="57"/>
      <c r="U1" s="57"/>
      <c r="V1" s="57"/>
    </row>
    <row r="2" spans="1:34" ht="13.5" customHeight="1" x14ac:dyDescent="0.25">
      <c r="A2" s="7"/>
      <c r="B2" s="7"/>
      <c r="C2" s="7"/>
      <c r="D2" s="57"/>
      <c r="E2" s="57"/>
      <c r="F2" s="57"/>
      <c r="G2" s="57"/>
      <c r="H2" s="57"/>
      <c r="I2" s="57"/>
      <c r="J2" s="57"/>
      <c r="K2" s="57"/>
      <c r="L2" s="57"/>
      <c r="M2" s="57"/>
      <c r="N2" s="57"/>
      <c r="O2" s="57"/>
      <c r="P2" s="57"/>
      <c r="Q2" s="57"/>
      <c r="R2" s="57"/>
      <c r="S2" s="57"/>
      <c r="T2" s="57"/>
      <c r="U2" s="57"/>
      <c r="V2" s="57"/>
    </row>
    <row r="3" spans="1:34" ht="13.5" customHeight="1" x14ac:dyDescent="0.25">
      <c r="A3" s="7"/>
      <c r="B3" s="7"/>
      <c r="C3" s="7"/>
      <c r="D3" s="57"/>
      <c r="E3" s="57"/>
      <c r="F3" s="57"/>
      <c r="G3" s="57"/>
      <c r="H3" s="57"/>
      <c r="I3" s="57"/>
      <c r="J3" s="57"/>
      <c r="K3" s="57"/>
      <c r="L3" s="57"/>
      <c r="M3" s="57"/>
      <c r="N3" s="57"/>
      <c r="O3" s="57"/>
      <c r="P3" s="57"/>
      <c r="Q3" s="57"/>
      <c r="R3" s="57"/>
      <c r="S3" s="57"/>
      <c r="T3" s="57"/>
      <c r="U3" s="57"/>
      <c r="V3" s="57"/>
    </row>
    <row r="4" spans="1:34" ht="13.5" customHeight="1" x14ac:dyDescent="0.25">
      <c r="A4" s="7"/>
      <c r="B4" s="78"/>
      <c r="C4" s="77"/>
      <c r="D4" s="57"/>
      <c r="E4" s="57"/>
      <c r="F4" s="57"/>
      <c r="G4" s="57"/>
      <c r="H4" s="57"/>
      <c r="I4" s="57"/>
      <c r="J4" s="57"/>
      <c r="K4" s="57"/>
      <c r="L4" s="57"/>
      <c r="M4" s="57"/>
      <c r="N4" s="57"/>
      <c r="O4" s="57"/>
      <c r="P4" s="57"/>
      <c r="Q4" s="57"/>
      <c r="R4" s="57"/>
      <c r="S4" s="57"/>
      <c r="T4" s="57"/>
      <c r="U4" s="57"/>
      <c r="V4" s="57"/>
    </row>
    <row r="5" spans="1:34" x14ac:dyDescent="0.25">
      <c r="B5" s="52" t="s">
        <v>44</v>
      </c>
      <c r="C5" s="7"/>
      <c r="D5" s="7"/>
      <c r="E5" s="8" t="s">
        <v>38</v>
      </c>
      <c r="F5" s="7"/>
      <c r="G5" s="7"/>
      <c r="H5" s="7"/>
      <c r="I5" s="7"/>
      <c r="J5" s="7"/>
      <c r="K5" s="7"/>
      <c r="L5" s="7"/>
      <c r="M5" s="7"/>
      <c r="N5" s="7"/>
      <c r="O5" s="7"/>
      <c r="P5" s="7"/>
      <c r="Q5" s="7"/>
      <c r="R5" s="7"/>
      <c r="S5" s="7"/>
      <c r="T5" s="7"/>
      <c r="U5" s="7"/>
      <c r="V5" s="7"/>
    </row>
    <row r="6" spans="1:34" ht="14.25" thickBot="1" x14ac:dyDescent="0.3">
      <c r="B6" s="52" t="s">
        <v>0</v>
      </c>
      <c r="C6" s="52" t="s">
        <v>1</v>
      </c>
      <c r="D6" s="7"/>
      <c r="E6" s="8" t="s">
        <v>43</v>
      </c>
      <c r="F6" s="7"/>
      <c r="G6" s="7"/>
      <c r="H6" s="7"/>
      <c r="I6" s="7"/>
      <c r="J6" s="7"/>
      <c r="K6" s="7"/>
      <c r="L6" s="7"/>
      <c r="M6" s="7"/>
      <c r="N6" s="7"/>
      <c r="O6" s="7"/>
      <c r="P6" s="7"/>
      <c r="Q6" s="7"/>
      <c r="R6" s="7"/>
      <c r="S6" s="7"/>
      <c r="T6" s="7"/>
      <c r="U6" s="7"/>
      <c r="V6" s="7"/>
    </row>
    <row r="7" spans="1:34" ht="15" thickTop="1" thickBot="1" x14ac:dyDescent="0.3">
      <c r="B7" s="53">
        <v>200</v>
      </c>
      <c r="C7" s="53" t="s">
        <v>2</v>
      </c>
      <c r="D7" s="7"/>
      <c r="E7" s="8" t="s">
        <v>47</v>
      </c>
      <c r="F7" s="7"/>
      <c r="G7" s="7"/>
      <c r="H7" s="7"/>
      <c r="I7" s="7"/>
      <c r="J7" s="7"/>
      <c r="K7" s="7"/>
      <c r="L7" s="7"/>
      <c r="M7" s="7"/>
      <c r="N7" s="7"/>
      <c r="O7" s="7"/>
      <c r="P7" s="7"/>
      <c r="Q7" s="7"/>
      <c r="R7" s="7"/>
      <c r="S7" s="7"/>
      <c r="T7" s="7"/>
      <c r="U7" s="7"/>
      <c r="V7" s="7"/>
    </row>
    <row r="8" spans="1:34" ht="15.75" thickTop="1" x14ac:dyDescent="0.25">
      <c r="B8" s="5" t="str">
        <f>IF(AB12&gt;AC33,"Invalid Value: OVERRANGE",IF(AB12&lt;AD12,"Invalid Value: UNDERRANGE",""))</f>
        <v/>
      </c>
      <c r="C8" s="6"/>
      <c r="D8" s="7"/>
      <c r="E8" s="8" t="s">
        <v>42</v>
      </c>
      <c r="F8" s="7"/>
      <c r="G8" s="7"/>
      <c r="H8" s="7"/>
      <c r="I8" s="7"/>
      <c r="J8" s="7"/>
      <c r="K8" s="7"/>
      <c r="L8" s="7"/>
      <c r="M8" s="7"/>
      <c r="N8" s="7"/>
      <c r="O8" s="7"/>
      <c r="P8" s="7"/>
      <c r="Q8" s="7"/>
      <c r="R8" s="7"/>
      <c r="S8" s="7"/>
      <c r="T8" s="7"/>
      <c r="U8" s="7"/>
      <c r="V8" s="7"/>
      <c r="AA8" s="4"/>
    </row>
    <row r="9" spans="1:34" ht="18" customHeight="1" x14ac:dyDescent="0.25">
      <c r="B9" s="69" t="s">
        <v>37</v>
      </c>
      <c r="C9" s="70"/>
      <c r="D9" s="70"/>
      <c r="E9" s="70"/>
      <c r="F9" s="70"/>
      <c r="G9" s="70"/>
      <c r="H9" s="70"/>
      <c r="I9" s="70"/>
      <c r="J9" s="70"/>
      <c r="K9" s="71"/>
      <c r="L9" s="7"/>
      <c r="M9" s="72" t="s">
        <v>36</v>
      </c>
      <c r="N9" s="73"/>
      <c r="O9" s="73"/>
      <c r="P9" s="73"/>
      <c r="Q9" s="73"/>
      <c r="R9" s="73"/>
      <c r="S9" s="73"/>
      <c r="T9" s="73"/>
      <c r="U9" s="73"/>
      <c r="V9" s="74"/>
    </row>
    <row r="10" spans="1:34" ht="18" customHeight="1" x14ac:dyDescent="0.25">
      <c r="B10" s="75" t="s">
        <v>6</v>
      </c>
      <c r="C10" s="75" t="s">
        <v>29</v>
      </c>
      <c r="D10" s="76" t="s">
        <v>15</v>
      </c>
      <c r="E10" s="76"/>
      <c r="F10" s="76"/>
      <c r="G10" s="76"/>
      <c r="H10" s="76"/>
      <c r="I10" s="76"/>
      <c r="J10" s="76"/>
      <c r="K10" s="76"/>
      <c r="L10" s="7"/>
      <c r="M10" s="75" t="s">
        <v>6</v>
      </c>
      <c r="N10" s="75" t="s">
        <v>29</v>
      </c>
      <c r="O10" s="76" t="s">
        <v>15</v>
      </c>
      <c r="P10" s="76"/>
      <c r="Q10" s="76"/>
      <c r="R10" s="76"/>
      <c r="S10" s="76"/>
      <c r="T10" s="76"/>
      <c r="U10" s="76"/>
      <c r="V10" s="76"/>
    </row>
    <row r="11" spans="1:34" ht="18" customHeight="1" x14ac:dyDescent="0.25">
      <c r="B11" s="75"/>
      <c r="C11" s="75"/>
      <c r="D11" s="9" t="s">
        <v>7</v>
      </c>
      <c r="E11" s="10" t="s">
        <v>8</v>
      </c>
      <c r="F11" s="10" t="s">
        <v>9</v>
      </c>
      <c r="G11" s="10" t="s">
        <v>10</v>
      </c>
      <c r="H11" s="10" t="s">
        <v>11</v>
      </c>
      <c r="I11" s="10" t="s">
        <v>12</v>
      </c>
      <c r="J11" s="10" t="s">
        <v>13</v>
      </c>
      <c r="K11" s="10" t="s">
        <v>14</v>
      </c>
      <c r="L11" s="7"/>
      <c r="M11" s="75"/>
      <c r="N11" s="75"/>
      <c r="O11" s="9" t="s">
        <v>7</v>
      </c>
      <c r="P11" s="9" t="s">
        <v>8</v>
      </c>
      <c r="Q11" s="9" t="s">
        <v>9</v>
      </c>
      <c r="R11" s="9" t="s">
        <v>10</v>
      </c>
      <c r="S11" s="9" t="s">
        <v>11</v>
      </c>
      <c r="T11" s="9" t="s">
        <v>12</v>
      </c>
      <c r="U11" s="9" t="s">
        <v>13</v>
      </c>
      <c r="V11" s="9" t="s">
        <v>14</v>
      </c>
      <c r="Y11" s="2" t="s">
        <v>1</v>
      </c>
      <c r="Z11" s="2" t="s">
        <v>32</v>
      </c>
      <c r="AA11" s="2" t="s">
        <v>33</v>
      </c>
      <c r="AB11" s="2" t="s">
        <v>30</v>
      </c>
      <c r="AC11" s="2" t="s">
        <v>31</v>
      </c>
      <c r="AD11" s="2" t="s">
        <v>46</v>
      </c>
      <c r="AE11" s="2" t="s">
        <v>34</v>
      </c>
      <c r="AF11" s="2" t="s">
        <v>45</v>
      </c>
      <c r="AG11" s="2" t="s">
        <v>35</v>
      </c>
    </row>
    <row r="12" spans="1:34" x14ac:dyDescent="0.25">
      <c r="B12" s="62" t="s">
        <v>16</v>
      </c>
      <c r="C12" s="11" t="s">
        <v>27</v>
      </c>
      <c r="D12" s="12" t="str">
        <f>IF(AND($AB$12&lt;=$AC12,$AB$12&gt;=$AD12),TEXT(ROUND($AG12+(($AG12*0.0002) +0.0005),4),"0.0000") &amp;" " &amp;  $AE12,"")</f>
        <v/>
      </c>
      <c r="E12" s="13"/>
      <c r="F12" s="13"/>
      <c r="G12" s="13"/>
      <c r="H12" s="13"/>
      <c r="I12" s="13"/>
      <c r="J12" s="13"/>
      <c r="K12" s="14"/>
      <c r="L12" s="7"/>
      <c r="M12" s="62" t="s">
        <v>16</v>
      </c>
      <c r="N12" s="15" t="s">
        <v>27</v>
      </c>
      <c r="O12" s="16"/>
      <c r="P12" s="13"/>
      <c r="Q12" s="13"/>
      <c r="R12" s="13"/>
      <c r="S12" s="13"/>
      <c r="T12" s="13"/>
      <c r="U12" s="13"/>
      <c r="V12" s="14"/>
      <c r="Y12" s="3" t="s">
        <v>2</v>
      </c>
      <c r="Z12" s="3">
        <v>1E-3</v>
      </c>
      <c r="AA12" s="3">
        <f t="array" ref="AA12">INDEX(Z12:Z15, MATCH(1, --EXACT(Units, C7),0))</f>
        <v>1E-3</v>
      </c>
      <c r="AB12" s="3">
        <f>AA12*B7</f>
        <v>0.2</v>
      </c>
      <c r="AC12" s="3">
        <f>0.002</f>
        <v>2E-3</v>
      </c>
      <c r="AD12" s="3">
        <f>AC12*0.005</f>
        <v>1.0000000000000001E-5</v>
      </c>
      <c r="AE12" s="3" t="s">
        <v>2</v>
      </c>
      <c r="AF12" s="3">
        <v>1E-3</v>
      </c>
      <c r="AG12" s="55">
        <f>$AB$12/$AF12</f>
        <v>200</v>
      </c>
      <c r="AH12" s="54"/>
    </row>
    <row r="13" spans="1:34" x14ac:dyDescent="0.25">
      <c r="B13" s="61"/>
      <c r="C13" s="17" t="s">
        <v>28</v>
      </c>
      <c r="D13" s="18" t="str">
        <f>IF(AND($AB$12&lt;=$AC13,$AB$12&gt;=$AD13),TEXT(ROUND($AG13-(($AG13*0.0002) +0.0005),4),"0.0000") &amp;" " &amp;  $AE13,"")</f>
        <v/>
      </c>
      <c r="E13" s="19"/>
      <c r="F13" s="19"/>
      <c r="G13" s="19"/>
      <c r="H13" s="19"/>
      <c r="I13" s="19"/>
      <c r="J13" s="19"/>
      <c r="K13" s="20"/>
      <c r="L13" s="7"/>
      <c r="M13" s="61"/>
      <c r="N13" s="17" t="s">
        <v>28</v>
      </c>
      <c r="O13" s="21"/>
      <c r="P13" s="19"/>
      <c r="Q13" s="19"/>
      <c r="R13" s="19"/>
      <c r="S13" s="19"/>
      <c r="T13" s="19"/>
      <c r="U13" s="19"/>
      <c r="V13" s="20"/>
      <c r="Y13" s="3" t="s">
        <v>3</v>
      </c>
      <c r="Z13" s="3">
        <v>1</v>
      </c>
      <c r="AA13" s="3"/>
      <c r="AB13" s="3"/>
      <c r="AC13" s="3">
        <v>2E-3</v>
      </c>
      <c r="AD13" s="3">
        <f t="shared" ref="AD13:AD33" si="0">AC13*0.005</f>
        <v>1.0000000000000001E-5</v>
      </c>
      <c r="AE13" s="3" t="s">
        <v>2</v>
      </c>
      <c r="AF13" s="3">
        <v>1E-3</v>
      </c>
      <c r="AG13" s="55">
        <f t="shared" ref="AG13:AG33" si="1">$AB$12/$AF13</f>
        <v>200</v>
      </c>
      <c r="AH13" s="54"/>
    </row>
    <row r="14" spans="1:34" x14ac:dyDescent="0.25">
      <c r="B14" s="58" t="s">
        <v>17</v>
      </c>
      <c r="C14" s="22" t="s">
        <v>27</v>
      </c>
      <c r="D14" s="23" t="str">
        <f>IF(AND($AB$12&lt;=$AC14,$AB$12&gt;=$AD14),TEXT(ROUND($AG14+(($AG14*0.0002) +0.004),3),"#0.000") &amp;" " &amp;  $AE14,"")</f>
        <v/>
      </c>
      <c r="E14" s="24" t="str">
        <f>IF(AND($AB$12&lt;=$AC14,$AB$12&gt;=$AD14),TEXT(ROUND($AG14+(($AG14*0.0002) +0.005),3),"#0.000") &amp;" " &amp;  $AE14,"")</f>
        <v/>
      </c>
      <c r="F14" s="25"/>
      <c r="G14" s="25"/>
      <c r="H14" s="25"/>
      <c r="I14" s="25"/>
      <c r="J14" s="25"/>
      <c r="K14" s="26"/>
      <c r="L14" s="7"/>
      <c r="M14" s="60" t="s">
        <v>17</v>
      </c>
      <c r="N14" s="11" t="s">
        <v>27</v>
      </c>
      <c r="O14" s="27"/>
      <c r="P14" s="28"/>
      <c r="Q14" s="19"/>
      <c r="R14" s="19"/>
      <c r="S14" s="19"/>
      <c r="T14" s="19"/>
      <c r="U14" s="19"/>
      <c r="V14" s="20"/>
      <c r="Y14" s="3" t="s">
        <v>4</v>
      </c>
      <c r="Z14" s="3">
        <v>1000</v>
      </c>
      <c r="AA14" s="3"/>
      <c r="AB14" s="3"/>
      <c r="AC14" s="3">
        <f>AC12*10</f>
        <v>0.02</v>
      </c>
      <c r="AD14" s="3">
        <f t="shared" si="0"/>
        <v>1E-4</v>
      </c>
      <c r="AE14" s="3" t="s">
        <v>2</v>
      </c>
      <c r="AF14" s="3">
        <v>1E-3</v>
      </c>
      <c r="AG14" s="55">
        <f t="shared" si="1"/>
        <v>200</v>
      </c>
      <c r="AH14" s="54"/>
    </row>
    <row r="15" spans="1:34" x14ac:dyDescent="0.25">
      <c r="B15" s="59"/>
      <c r="C15" s="29" t="s">
        <v>28</v>
      </c>
      <c r="D15" s="30" t="str">
        <f>IF(AND($AB$12&lt;=$AC15,$AB$12&gt;=$AD15),TEXT(ROUND($AG15-(($AG15*0.0002) +0.004),3),"#0.000") &amp;" " &amp;  $AE15,"")</f>
        <v/>
      </c>
      <c r="E15" s="30" t="str">
        <f>IF(AND($AB$12&lt;=$AC15,$AB$12&gt;=$AD15),TEXT(ROUND($AG15-(($AG15*0.0002) +0.005),3),"#0.000") &amp;" " &amp;  $AE15,"")</f>
        <v/>
      </c>
      <c r="F15" s="25"/>
      <c r="G15" s="25"/>
      <c r="H15" s="25"/>
      <c r="I15" s="25"/>
      <c r="J15" s="25"/>
      <c r="K15" s="26"/>
      <c r="L15" s="7"/>
      <c r="M15" s="61"/>
      <c r="N15" s="17" t="s">
        <v>28</v>
      </c>
      <c r="O15" s="31"/>
      <c r="P15" s="28"/>
      <c r="Q15" s="19"/>
      <c r="R15" s="19"/>
      <c r="S15" s="19"/>
      <c r="T15" s="19"/>
      <c r="U15" s="19"/>
      <c r="V15" s="20"/>
      <c r="Y15" s="3" t="s">
        <v>5</v>
      </c>
      <c r="Z15" s="3">
        <v>1000000</v>
      </c>
      <c r="AA15" s="3"/>
      <c r="AB15" s="3"/>
      <c r="AC15" s="3">
        <f t="shared" ref="AC15:AC33" si="2">AC13*10</f>
        <v>0.02</v>
      </c>
      <c r="AD15" s="3">
        <f t="shared" si="0"/>
        <v>1E-4</v>
      </c>
      <c r="AE15" s="3" t="s">
        <v>2</v>
      </c>
      <c r="AF15" s="3">
        <v>1E-3</v>
      </c>
      <c r="AG15" s="55">
        <f t="shared" si="1"/>
        <v>200</v>
      </c>
      <c r="AH15" s="54"/>
    </row>
    <row r="16" spans="1:34" x14ac:dyDescent="0.25">
      <c r="B16" s="60" t="s">
        <v>18</v>
      </c>
      <c r="C16" s="11" t="s">
        <v>27</v>
      </c>
      <c r="D16" s="32" t="str">
        <f>IF(AND($AB$12&lt;=$AC16,$AB$12&gt;=$AD16),TEXT(ROUND($AG16+(($AG16*0.0002) +0.02),2),"##0.00") &amp;" " &amp;  $AE16,"")</f>
        <v>200.06 mΩ</v>
      </c>
      <c r="E16" s="32" t="str">
        <f>IF(AND($AB$12&lt;=$AC16,$AB$12&gt;=$AD16),TEXT(ROUND($AG16+(($AG16*0.0002) +0.04),2),"##0.00") &amp;" " &amp;  $AE16,"")</f>
        <v>200.08 mΩ</v>
      </c>
      <c r="F16" s="19"/>
      <c r="G16" s="19"/>
      <c r="H16" s="19"/>
      <c r="I16" s="19"/>
      <c r="J16" s="19"/>
      <c r="K16" s="20"/>
      <c r="L16" s="7"/>
      <c r="M16" s="60" t="s">
        <v>18</v>
      </c>
      <c r="N16" s="11" t="s">
        <v>27</v>
      </c>
      <c r="O16" s="33" t="str">
        <f>IF(AND($AB$12&lt;=$AC42,$AB$12&gt;=$AD42),TEXT(ROUND($AG42+(($AG42*0.0005) +0.05),2),"##0.00") &amp;" " &amp;  $AE42,"")</f>
        <v>200.15 mΩ</v>
      </c>
      <c r="P16" s="19"/>
      <c r="Q16" s="19"/>
      <c r="R16" s="19"/>
      <c r="S16" s="19"/>
      <c r="T16" s="19"/>
      <c r="U16" s="19"/>
      <c r="V16" s="20"/>
      <c r="Y16" s="3"/>
      <c r="Z16" s="3"/>
      <c r="AA16" s="3"/>
      <c r="AB16" s="3"/>
      <c r="AC16" s="3">
        <f t="shared" si="2"/>
        <v>0.2</v>
      </c>
      <c r="AD16" s="3">
        <f t="shared" si="0"/>
        <v>1E-3</v>
      </c>
      <c r="AE16" s="3" t="s">
        <v>2</v>
      </c>
      <c r="AF16" s="3">
        <v>1E-3</v>
      </c>
      <c r="AG16" s="55">
        <f t="shared" si="1"/>
        <v>200</v>
      </c>
      <c r="AH16" s="54"/>
    </row>
    <row r="17" spans="2:34" x14ac:dyDescent="0.25">
      <c r="B17" s="61"/>
      <c r="C17" s="17" t="s">
        <v>28</v>
      </c>
      <c r="D17" s="18" t="str">
        <f>IF(AND($AB$12&lt;=$AC17,$AB$12&gt;=$AD17),TEXT(ROUND($AG17-(($AG17*0.0002) +0.02),2),"##0.00") &amp;" " &amp;  $AE17,"")</f>
        <v>199.94 mΩ</v>
      </c>
      <c r="E17" s="18" t="str">
        <f>IF(AND($AB$12&lt;=$AC17,$AB$12&gt;=$AD17),TEXT(ROUND($AG17-(($AG17*0.0002) +0.04),2),"##0.00") &amp;" " &amp;  $AE17,"")</f>
        <v>199.92 mΩ</v>
      </c>
      <c r="F17" s="19"/>
      <c r="G17" s="19"/>
      <c r="H17" s="19"/>
      <c r="I17" s="19"/>
      <c r="J17" s="19"/>
      <c r="K17" s="20"/>
      <c r="L17" s="7"/>
      <c r="M17" s="61"/>
      <c r="N17" s="17" t="s">
        <v>28</v>
      </c>
      <c r="O17" s="34" t="str">
        <f>IF(AND($AB$12&lt;=$AC43,$AB$12&gt;=$AD43),TEXT(ROUND($AG43-(($AG43*0.0005) +0.05),2),"##0.00") &amp;" " &amp;  $AE43,"")</f>
        <v>199.85 mΩ</v>
      </c>
      <c r="P17" s="19"/>
      <c r="Q17" s="19"/>
      <c r="R17" s="19"/>
      <c r="S17" s="19"/>
      <c r="T17" s="19"/>
      <c r="U17" s="19"/>
      <c r="V17" s="20"/>
      <c r="Y17" s="3"/>
      <c r="Z17" s="3"/>
      <c r="AA17" s="3"/>
      <c r="AB17" s="3"/>
      <c r="AC17" s="3">
        <f t="shared" si="2"/>
        <v>0.2</v>
      </c>
      <c r="AD17" s="3">
        <f t="shared" si="0"/>
        <v>1E-3</v>
      </c>
      <c r="AE17" s="3" t="s">
        <v>2</v>
      </c>
      <c r="AF17" s="3">
        <v>1E-3</v>
      </c>
      <c r="AG17" s="55">
        <f t="shared" si="1"/>
        <v>200</v>
      </c>
      <c r="AH17" s="54"/>
    </row>
    <row r="18" spans="2:34" x14ac:dyDescent="0.25">
      <c r="B18" s="58" t="s">
        <v>19</v>
      </c>
      <c r="C18" s="22" t="s">
        <v>27</v>
      </c>
      <c r="D18" s="35"/>
      <c r="E18" s="36" t="str">
        <f>IF(AND($AB$12&lt;=$AC18,$AB$12&gt;=$AD18),TEXT(ROUND($AG18+(($AG18*0.0002) +0.0002),4),"0.0000") &amp;" " &amp;  $AE18,"")</f>
        <v>0.2002 Ω</v>
      </c>
      <c r="F18" s="37" t="str">
        <f>IF(AND($AB$12&lt;=$AC18,$AB$12&gt;=$AD18),TEXT(ROUND($AG18+(($AG18*0.0002) +0.0004),4),"0.0000") &amp;" " &amp;  $AE18,"")</f>
        <v>0.2004 Ω</v>
      </c>
      <c r="G18" s="25"/>
      <c r="H18" s="25"/>
      <c r="I18" s="25"/>
      <c r="J18" s="25"/>
      <c r="K18" s="26"/>
      <c r="L18" s="7"/>
      <c r="M18" s="60" t="s">
        <v>19</v>
      </c>
      <c r="N18" s="11" t="s">
        <v>27</v>
      </c>
      <c r="O18" s="35"/>
      <c r="P18" s="38" t="str">
        <f>IF(AND($AB$12&lt;=$AC44,$AB$12&gt;=$AD44),TEXT(ROUND($AG44+(($AG44*0.0005) +0.0005),4),"0.0000") &amp;" " &amp;  $AE44,"")</f>
        <v>0.2006 Ω</v>
      </c>
      <c r="Q18" s="39"/>
      <c r="R18" s="25"/>
      <c r="S18" s="25"/>
      <c r="T18" s="25"/>
      <c r="U18" s="25"/>
      <c r="V18" s="26"/>
      <c r="Y18" s="3"/>
      <c r="Z18" s="3"/>
      <c r="AA18" s="3"/>
      <c r="AB18" s="3"/>
      <c r="AC18" s="3">
        <f t="shared" si="2"/>
        <v>2</v>
      </c>
      <c r="AD18" s="3">
        <f t="shared" si="0"/>
        <v>0.01</v>
      </c>
      <c r="AE18" s="3" t="s">
        <v>3</v>
      </c>
      <c r="AF18" s="3">
        <v>1</v>
      </c>
      <c r="AG18" s="55">
        <f t="shared" si="1"/>
        <v>0.2</v>
      </c>
      <c r="AH18" s="54"/>
    </row>
    <row r="19" spans="2:34" x14ac:dyDescent="0.25">
      <c r="B19" s="59"/>
      <c r="C19" s="29" t="s">
        <v>28</v>
      </c>
      <c r="D19" s="35"/>
      <c r="E19" s="40" t="str">
        <f>IF(AND($AB$12&lt;=$AC19,$AB$12&gt;=$AD19),TEXT(ROUND($AG19-(($AG19*0.0002) +0.0002),4),"0.0000") &amp;" " &amp;  $AE19,"")</f>
        <v>0.1998 Ω</v>
      </c>
      <c r="F19" s="40" t="str">
        <f>IF(AND($AB$12&lt;=$AC19,$AB$12&gt;=$AD19),TEXT(ROUND($AG19-(($AG19*0.0002) +0.0004),4),"0.0000") &amp;" " &amp;  $AE19,"")</f>
        <v>0.1996 Ω</v>
      </c>
      <c r="G19" s="25"/>
      <c r="H19" s="25"/>
      <c r="I19" s="25"/>
      <c r="J19" s="25"/>
      <c r="K19" s="26"/>
      <c r="L19" s="7"/>
      <c r="M19" s="61"/>
      <c r="N19" s="17" t="s">
        <v>28</v>
      </c>
      <c r="O19" s="35"/>
      <c r="P19" s="41" t="str">
        <f>IF(AND($AB$12&lt;=$AC45,$AB$12&gt;=$AD45),TEXT(ROUND($AG45-(($AG45*0.0005) +0.0005),4),"0.0000") &amp;" " &amp;  $AE45,"")</f>
        <v>0.1994 Ω</v>
      </c>
      <c r="Q19" s="39"/>
      <c r="R19" s="25"/>
      <c r="S19" s="25"/>
      <c r="T19" s="25"/>
      <c r="U19" s="25"/>
      <c r="V19" s="26"/>
      <c r="Y19" s="3"/>
      <c r="Z19" s="3"/>
      <c r="AA19" s="3"/>
      <c r="AB19" s="3"/>
      <c r="AC19" s="3">
        <f t="shared" si="2"/>
        <v>2</v>
      </c>
      <c r="AD19" s="3">
        <f t="shared" si="0"/>
        <v>0.01</v>
      </c>
      <c r="AE19" s="3" t="s">
        <v>3</v>
      </c>
      <c r="AF19" s="3">
        <v>1</v>
      </c>
      <c r="AG19" s="55">
        <f t="shared" si="1"/>
        <v>0.2</v>
      </c>
      <c r="AH19" s="54"/>
    </row>
    <row r="20" spans="2:34" x14ac:dyDescent="0.25">
      <c r="B20" s="60" t="s">
        <v>20</v>
      </c>
      <c r="C20" s="11" t="s">
        <v>27</v>
      </c>
      <c r="D20" s="21"/>
      <c r="E20" s="19"/>
      <c r="F20" s="32" t="str">
        <f>IF(AND($AB$12&lt;=$AC20,$AB$12&gt;=$AD20),TEXT(ROUND($AG20+(($AG20*0.0002) +0.002),3), "#0.000") &amp;" " &amp;  $AE20,"")</f>
        <v>0.202 Ω</v>
      </c>
      <c r="G20" s="12" t="str">
        <f>IF(AND($AB$12&lt;=$AC20,$AB$12&gt;=$AD20),TEXT(ROUND($AG20+(($AG20*0.0002) +0.004),3),"#0.000") &amp;" " &amp;  $AE20,"")</f>
        <v>0.204 Ω</v>
      </c>
      <c r="H20" s="19"/>
      <c r="I20" s="19"/>
      <c r="J20" s="19"/>
      <c r="K20" s="20"/>
      <c r="L20" s="7"/>
      <c r="M20" s="60" t="s">
        <v>20</v>
      </c>
      <c r="N20" s="11" t="s">
        <v>27</v>
      </c>
      <c r="O20" s="21"/>
      <c r="P20" s="19"/>
      <c r="Q20" s="33" t="str">
        <f>IF(AND($AB$12&lt;=$AC46,$AB$12&gt;=$AD46),TEXT(ROUND($AG46+(($AG46*0.0005) +0.005),3), "#0.000") &amp;" " &amp;  $AE46,"")</f>
        <v>0.205 Ω</v>
      </c>
      <c r="R20" s="42"/>
      <c r="S20" s="19"/>
      <c r="T20" s="19"/>
      <c r="U20" s="19"/>
      <c r="V20" s="20"/>
      <c r="Y20" s="3"/>
      <c r="Z20" s="3"/>
      <c r="AA20" s="3"/>
      <c r="AB20" s="3"/>
      <c r="AC20" s="3">
        <f t="shared" si="2"/>
        <v>20</v>
      </c>
      <c r="AD20" s="3">
        <f t="shared" si="0"/>
        <v>0.1</v>
      </c>
      <c r="AE20" s="3" t="s">
        <v>3</v>
      </c>
      <c r="AF20" s="3">
        <v>1</v>
      </c>
      <c r="AG20" s="55">
        <f t="shared" si="1"/>
        <v>0.2</v>
      </c>
      <c r="AH20" s="54"/>
    </row>
    <row r="21" spans="2:34" x14ac:dyDescent="0.25">
      <c r="B21" s="61"/>
      <c r="C21" s="17" t="s">
        <v>28</v>
      </c>
      <c r="D21" s="21"/>
      <c r="E21" s="19"/>
      <c r="F21" s="18" t="str">
        <f>IF(AND($AB$12&lt;=$AC21,$AB$12&gt;=$AD21),TEXT(ROUND($AG21-(($AG21*0.0002) +0.002),3),"#0.000") &amp;" " &amp;  $AE21,"")</f>
        <v>0.198 Ω</v>
      </c>
      <c r="G21" s="18" t="str">
        <f>IF(AND($AB$12&lt;=$AC21,$AB$12&gt;=$AD21),TEXT(ROUND($AG21-(($AG21*0.0002) +0.004),3),"#0.000") &amp;" " &amp;  $AE21,"")</f>
        <v>0.196 Ω</v>
      </c>
      <c r="H21" s="19"/>
      <c r="I21" s="19"/>
      <c r="J21" s="19"/>
      <c r="K21" s="20"/>
      <c r="L21" s="7"/>
      <c r="M21" s="61"/>
      <c r="N21" s="17" t="s">
        <v>28</v>
      </c>
      <c r="O21" s="21"/>
      <c r="P21" s="19"/>
      <c r="Q21" s="34" t="str">
        <f>IF(AND($AB$12&lt;=$AC47,$AB$12&gt;=$AD47),TEXT(ROUND($AG47-(($AG47*0.0005) +0.005),3),"#0.000") &amp;" " &amp;  $AE47,"")</f>
        <v>0.195 Ω</v>
      </c>
      <c r="R21" s="42"/>
      <c r="S21" s="19"/>
      <c r="T21" s="19"/>
      <c r="U21" s="19"/>
      <c r="V21" s="20"/>
      <c r="Y21" s="3"/>
      <c r="Z21" s="3"/>
      <c r="AA21" s="3"/>
      <c r="AB21" s="3"/>
      <c r="AC21" s="3">
        <f t="shared" si="2"/>
        <v>20</v>
      </c>
      <c r="AD21" s="3">
        <f t="shared" si="0"/>
        <v>0.1</v>
      </c>
      <c r="AE21" s="3" t="s">
        <v>3</v>
      </c>
      <c r="AF21" s="3">
        <v>1</v>
      </c>
      <c r="AG21" s="55">
        <f t="shared" si="1"/>
        <v>0.2</v>
      </c>
      <c r="AH21" s="54"/>
    </row>
    <row r="22" spans="2:34" x14ac:dyDescent="0.25">
      <c r="B22" s="58" t="s">
        <v>21</v>
      </c>
      <c r="C22" s="22" t="s">
        <v>27</v>
      </c>
      <c r="D22" s="35"/>
      <c r="E22" s="25"/>
      <c r="F22" s="32" t="str">
        <f>IF(AND($AB$12&lt;=$AC22,$AB$12&gt;=$AD22),TEXT(ROUND($AG22+(($AG22*0.0002) +0.02),2),"##0.00") &amp;" " &amp;  $AE22,"")</f>
        <v/>
      </c>
      <c r="G22" s="32" t="str">
        <f>IF(AND($AB$12&lt;=$AC22,$AB$12&gt;=$AD22),TEXT(ROUND($AG22+(($AG22*0.0002) +0.02),2),"##0.00") &amp;" " &amp;  $AE22,"")</f>
        <v/>
      </c>
      <c r="H22" s="12" t="str">
        <f>IF(AND($AB$12&lt;=$AC22,$AB$12&gt;=$AD22),TEXT(ROUND($AG22+(($AG22*0.0002) +0.04),2),"##0.00") &amp;" " &amp;  $AE22,"")</f>
        <v/>
      </c>
      <c r="I22" s="25"/>
      <c r="J22" s="25"/>
      <c r="K22" s="26"/>
      <c r="L22" s="7"/>
      <c r="M22" s="60" t="s">
        <v>21</v>
      </c>
      <c r="N22" s="11" t="s">
        <v>27</v>
      </c>
      <c r="O22" s="35"/>
      <c r="P22" s="25"/>
      <c r="Q22" s="43" t="str">
        <f>IF(AND($AB$12&lt;=$AC48,$AB$12&gt;=$AD48),TEXT(ROUND($AG48+(($AG48*0.0005) +0.05),2),"##0.00") &amp;" " &amp;  $AE48,"")</f>
        <v/>
      </c>
      <c r="R22" s="44" t="str">
        <f>IF(AND($AB$12&lt;=$AC48,$AB$12&gt;=$AD48),TEXT(ROUND($AG48+(($AG48*0.0005) +0.05),2),"##0.00") &amp;" " &amp;  $AE48,"")</f>
        <v/>
      </c>
      <c r="S22" s="45"/>
      <c r="T22" s="25"/>
      <c r="U22" s="25"/>
      <c r="V22" s="26"/>
      <c r="Y22" s="3"/>
      <c r="Z22" s="3"/>
      <c r="AA22" s="3"/>
      <c r="AB22" s="3"/>
      <c r="AC22" s="3">
        <f t="shared" si="2"/>
        <v>200</v>
      </c>
      <c r="AD22" s="3">
        <f t="shared" si="0"/>
        <v>1</v>
      </c>
      <c r="AE22" s="3" t="s">
        <v>3</v>
      </c>
      <c r="AF22" s="3">
        <v>1</v>
      </c>
      <c r="AG22" s="55">
        <f t="shared" si="1"/>
        <v>0.2</v>
      </c>
      <c r="AH22" s="54"/>
    </row>
    <row r="23" spans="2:34" x14ac:dyDescent="0.25">
      <c r="B23" s="59"/>
      <c r="C23" s="29" t="s">
        <v>28</v>
      </c>
      <c r="D23" s="35"/>
      <c r="E23" s="25"/>
      <c r="F23" s="18" t="str">
        <f>IF(AND($AB$12&lt;=$AC23,$AB$12&gt;=$AD23),TEXT(ROUND($AG23-(($AG23*0.0002) +0.02),2),"##0.00") &amp;" " &amp;  $AE23,"")</f>
        <v/>
      </c>
      <c r="G23" s="18" t="str">
        <f>IF(AND($AB$12&lt;=$AC23,$AB$12&gt;=$AD23),TEXT(ROUND($AG23-(($AG23*0.0002) +0.02),2),"##0.00") &amp;" " &amp;  $AE23,"")</f>
        <v/>
      </c>
      <c r="H23" s="18" t="str">
        <f>IF(AND($AB$12&lt;=$AC23,$AB$12&gt;=$AD23),TEXT(ROUND($AG23-(($AG23*0.0002) +0.04),2),"##0.00") &amp;" " &amp;  $AE23,"")</f>
        <v/>
      </c>
      <c r="I23" s="25"/>
      <c r="J23" s="25"/>
      <c r="K23" s="26"/>
      <c r="L23" s="7"/>
      <c r="M23" s="61"/>
      <c r="N23" s="17" t="s">
        <v>28</v>
      </c>
      <c r="O23" s="35"/>
      <c r="P23" s="25"/>
      <c r="Q23" s="46" t="str">
        <f>IF(AND($AB$12&lt;=$AC49,$AB$12&gt;=$AD49),TEXT(ROUND($AG49-(($AG49*0.0005) +0.05),2),"##0.00") &amp;" " &amp;  $AE49,"")</f>
        <v/>
      </c>
      <c r="R23" s="46" t="str">
        <f>IF(AND($AB$12&lt;=$AC49,$AB$12&gt;=$AD49),TEXT(ROUND($AG49-(($AG49*0.0005) +0.05),2),"##0.00") &amp;" " &amp;  $AE49,"")</f>
        <v/>
      </c>
      <c r="S23" s="45"/>
      <c r="T23" s="25"/>
      <c r="U23" s="25"/>
      <c r="V23" s="26"/>
      <c r="Y23" s="3"/>
      <c r="Z23" s="3"/>
      <c r="AA23" s="3"/>
      <c r="AB23" s="3"/>
      <c r="AC23" s="3">
        <f t="shared" si="2"/>
        <v>200</v>
      </c>
      <c r="AD23" s="3">
        <f t="shared" si="0"/>
        <v>1</v>
      </c>
      <c r="AE23" s="3" t="s">
        <v>3</v>
      </c>
      <c r="AF23" s="3">
        <v>1</v>
      </c>
      <c r="AG23" s="55">
        <f t="shared" si="1"/>
        <v>0.2</v>
      </c>
      <c r="AH23" s="54"/>
    </row>
    <row r="24" spans="2:34" x14ac:dyDescent="0.25">
      <c r="B24" s="60" t="s">
        <v>22</v>
      </c>
      <c r="C24" s="11" t="s">
        <v>27</v>
      </c>
      <c r="D24" s="21"/>
      <c r="E24" s="19"/>
      <c r="F24" s="19"/>
      <c r="G24" s="32" t="str">
        <f>IF(AND($AB$12&lt;=$AC24,$AB$12&gt;=$AD24),TEXT(ROUND($AG24+(($AG24*0.0002) +0.0002),4),"0.0000") &amp;" " &amp;  $AE24,"")</f>
        <v/>
      </c>
      <c r="H24" s="32" t="str">
        <f>IF(AND($AB$12&lt;=$AC24,$AB$12&gt;=$AD24),TEXT(ROUND($AG24+(($AG24*0.0002) +0.0002),4),"0.0000") &amp;" " &amp;  $AE24,"")</f>
        <v/>
      </c>
      <c r="I24" s="19"/>
      <c r="J24" s="19"/>
      <c r="K24" s="20"/>
      <c r="L24" s="7"/>
      <c r="M24" s="60" t="s">
        <v>22</v>
      </c>
      <c r="N24" s="11" t="s">
        <v>27</v>
      </c>
      <c r="O24" s="21"/>
      <c r="P24" s="19"/>
      <c r="Q24" s="19"/>
      <c r="R24" s="47" t="str">
        <f>IF(AND($AB$12&lt;=$AC50,$AB$12&gt;=$AD50),TEXT(ROUND($AG50+(($AG50*0.0005) +0.0005),4),"0.0000") &amp;" " &amp;  $AE50,"")</f>
        <v/>
      </c>
      <c r="S24" s="33" t="str">
        <f>IF(AND($AB$12&lt;=$AC50,$AB$12&gt;=$AD50),TEXT(ROUND($AG50+(($AG50*0.0005) +0.0005),4),"0.0000") &amp;" " &amp;  $AE50,"")</f>
        <v/>
      </c>
      <c r="T24" s="19"/>
      <c r="U24" s="19"/>
      <c r="V24" s="20"/>
      <c r="Y24" s="3"/>
      <c r="Z24" s="3"/>
      <c r="AA24" s="3"/>
      <c r="AB24" s="3"/>
      <c r="AC24" s="3">
        <f t="shared" si="2"/>
        <v>2000</v>
      </c>
      <c r="AD24" s="3">
        <f t="shared" si="0"/>
        <v>10</v>
      </c>
      <c r="AE24" s="3" t="s">
        <v>4</v>
      </c>
      <c r="AF24" s="3">
        <v>1000</v>
      </c>
      <c r="AG24" s="55">
        <f t="shared" si="1"/>
        <v>2.0000000000000001E-4</v>
      </c>
      <c r="AH24" s="54"/>
    </row>
    <row r="25" spans="2:34" x14ac:dyDescent="0.25">
      <c r="B25" s="61"/>
      <c r="C25" s="17" t="s">
        <v>28</v>
      </c>
      <c r="D25" s="21"/>
      <c r="E25" s="19"/>
      <c r="F25" s="19"/>
      <c r="G25" s="18" t="str">
        <f>IF(AND($AB$12&lt;=$AC25,$AB$12&gt;=$AD25),TEXT(ROUND($AG25-(($AG25*0.0002) +0.0002),4),"0.0000") &amp;" " &amp;  $AE25,"")</f>
        <v/>
      </c>
      <c r="H25" s="18" t="str">
        <f>IF(AND($AB$12&lt;=$AC25,$AB$12&gt;=$AD25),TEXT(ROUND($AG25-(($AG25*0.0002) +0.0002),4),"0.0000") &amp;" " &amp;  $AE25,"")</f>
        <v/>
      </c>
      <c r="I25" s="19"/>
      <c r="J25" s="19"/>
      <c r="K25" s="20"/>
      <c r="L25" s="7"/>
      <c r="M25" s="61"/>
      <c r="N25" s="17" t="s">
        <v>28</v>
      </c>
      <c r="O25" s="21"/>
      <c r="P25" s="19"/>
      <c r="Q25" s="19"/>
      <c r="R25" s="34" t="str">
        <f>IF(AND($AB$12&lt;=$AC51,$AB$12&gt;=$AD51),TEXT(ROUND($AG51-(($AG51*0.0005) +0.0005),4),"0.0000") &amp;" " &amp;  $AE51,"")</f>
        <v/>
      </c>
      <c r="S25" s="34" t="str">
        <f>IF(AND($AB$12&lt;=$AC51,$AB$12&gt;=$AD51),TEXT(ROUND($AG51-(($AG51*0.0005) +0.0005),4),"0.0000") &amp;" " &amp;  $AE51,"")</f>
        <v/>
      </c>
      <c r="T25" s="19"/>
      <c r="U25" s="19"/>
      <c r="V25" s="20"/>
      <c r="Y25" s="3"/>
      <c r="Z25" s="3"/>
      <c r="AA25" s="3"/>
      <c r="AB25" s="3"/>
      <c r="AC25" s="3">
        <f t="shared" si="2"/>
        <v>2000</v>
      </c>
      <c r="AD25" s="3">
        <f t="shared" si="0"/>
        <v>10</v>
      </c>
      <c r="AE25" s="3" t="s">
        <v>4</v>
      </c>
      <c r="AF25" s="3">
        <v>1000</v>
      </c>
      <c r="AG25" s="55">
        <f t="shared" si="1"/>
        <v>2.0000000000000001E-4</v>
      </c>
      <c r="AH25" s="54"/>
    </row>
    <row r="26" spans="2:34" x14ac:dyDescent="0.25">
      <c r="B26" s="58" t="s">
        <v>23</v>
      </c>
      <c r="C26" s="22" t="s">
        <v>27</v>
      </c>
      <c r="D26" s="35"/>
      <c r="E26" s="25"/>
      <c r="F26" s="25"/>
      <c r="G26" s="25"/>
      <c r="H26" s="32" t="str">
        <f>IF(AND($AB$12&lt;=$AC26,$AB$12&gt;=$AD26),TEXT(ROUND($AG26+(($AG26*0.0002) +0.002),3),"#0.000") &amp;" " &amp;  $AE26,"")</f>
        <v/>
      </c>
      <c r="I26" s="12" t="str">
        <f>IF(AND($AB$12&lt;=$AC26,$AB$12&gt;=$AD26),TEXT(ROUND($AG26+(($AG26*0.0002) +0.002),3),"#0.000") &amp;" " &amp;  $AE26,"")</f>
        <v/>
      </c>
      <c r="J26" s="25"/>
      <c r="K26" s="26"/>
      <c r="L26" s="7"/>
      <c r="M26" s="60" t="s">
        <v>23</v>
      </c>
      <c r="N26" s="11" t="s">
        <v>27</v>
      </c>
      <c r="O26" s="35"/>
      <c r="P26" s="25"/>
      <c r="Q26" s="25"/>
      <c r="R26" s="25"/>
      <c r="S26" s="43" t="str">
        <f>IF(AND($AB$12&lt;=$AC52,$AB$12&gt;=$AD52),TEXT(ROUND($AG52+(($AG52*0.0005) +0.005),3),"#0.000") &amp;" " &amp;  $AE52,"")</f>
        <v/>
      </c>
      <c r="T26" s="45"/>
      <c r="U26" s="25"/>
      <c r="V26" s="26"/>
      <c r="Y26" s="3"/>
      <c r="Z26" s="3"/>
      <c r="AA26" s="3"/>
      <c r="AB26" s="3"/>
      <c r="AC26" s="3">
        <f t="shared" si="2"/>
        <v>20000</v>
      </c>
      <c r="AD26" s="3">
        <f t="shared" si="0"/>
        <v>100</v>
      </c>
      <c r="AE26" s="3" t="s">
        <v>4</v>
      </c>
      <c r="AF26" s="3">
        <v>1000</v>
      </c>
      <c r="AG26" s="55">
        <f t="shared" si="1"/>
        <v>2.0000000000000001E-4</v>
      </c>
      <c r="AH26" s="54"/>
    </row>
    <row r="27" spans="2:34" x14ac:dyDescent="0.25">
      <c r="B27" s="59"/>
      <c r="C27" s="29" t="s">
        <v>28</v>
      </c>
      <c r="D27" s="35"/>
      <c r="E27" s="25"/>
      <c r="F27" s="25"/>
      <c r="G27" s="25"/>
      <c r="H27" s="18" t="str">
        <f>IF(AND($AB$12&lt;=$AC27,$AB$12&gt;=$AD27),TEXT(ROUND($AG27-(($AG27*0.0002) +0.002),3), "#0.000") &amp;" " &amp;  $AE27,"")</f>
        <v/>
      </c>
      <c r="I27" s="18" t="str">
        <f>IF(AND($AB$12&lt;=$AC27,$AB$12&gt;=$AD27),TEXT(ROUND($AG27-(($AG27*0.0002) +0.002),3),"#0.000") &amp;" " &amp;  $AE27,"")</f>
        <v/>
      </c>
      <c r="J27" s="25"/>
      <c r="K27" s="26"/>
      <c r="L27" s="7"/>
      <c r="M27" s="61"/>
      <c r="N27" s="17" t="s">
        <v>28</v>
      </c>
      <c r="O27" s="35"/>
      <c r="P27" s="25"/>
      <c r="Q27" s="25"/>
      <c r="R27" s="25"/>
      <c r="S27" s="46" t="str">
        <f>IF(AND($AB$12&lt;=$AC53,$AB$12&gt;=$AD53),TEXT(ROUND($AG53-(($AG53*0.0005) +0.005),3), "#0.000") &amp;" " &amp;  $AE53,"")</f>
        <v/>
      </c>
      <c r="T27" s="45"/>
      <c r="U27" s="25"/>
      <c r="V27" s="26"/>
      <c r="Y27" s="3"/>
      <c r="Z27" s="3"/>
      <c r="AA27" s="3"/>
      <c r="AB27" s="3"/>
      <c r="AC27" s="3">
        <f t="shared" si="2"/>
        <v>20000</v>
      </c>
      <c r="AD27" s="3">
        <f t="shared" si="0"/>
        <v>100</v>
      </c>
      <c r="AE27" s="3" t="s">
        <v>4</v>
      </c>
      <c r="AF27" s="3">
        <v>1000</v>
      </c>
      <c r="AG27" s="55">
        <f t="shared" si="1"/>
        <v>2.0000000000000001E-4</v>
      </c>
      <c r="AH27" s="54"/>
    </row>
    <row r="28" spans="2:34" x14ac:dyDescent="0.25">
      <c r="B28" s="60" t="s">
        <v>24</v>
      </c>
      <c r="C28" s="11" t="s">
        <v>27</v>
      </c>
      <c r="D28" s="21"/>
      <c r="E28" s="19"/>
      <c r="F28" s="19"/>
      <c r="G28" s="19"/>
      <c r="H28" s="19"/>
      <c r="I28" s="32" t="str">
        <f>IF(AND($AB$12&lt;=$AC28,$AB$12&gt;=$AD28),TEXT(ROUND($AG28+(($AG28*0.0002) +0.02),2),"##0.00") &amp;" " &amp;  $AE28,"")</f>
        <v/>
      </c>
      <c r="J28" s="19"/>
      <c r="K28" s="20"/>
      <c r="L28" s="7"/>
      <c r="M28" s="60" t="s">
        <v>24</v>
      </c>
      <c r="N28" s="11" t="s">
        <v>27</v>
      </c>
      <c r="O28" s="21"/>
      <c r="P28" s="19"/>
      <c r="Q28" s="19"/>
      <c r="R28" s="19"/>
      <c r="S28" s="19"/>
      <c r="T28" s="42"/>
      <c r="U28" s="19"/>
      <c r="V28" s="20"/>
      <c r="Y28" s="3"/>
      <c r="Z28" s="3"/>
      <c r="AA28" s="3"/>
      <c r="AB28" s="3"/>
      <c r="AC28" s="3">
        <f t="shared" si="2"/>
        <v>200000</v>
      </c>
      <c r="AD28" s="3">
        <f t="shared" si="0"/>
        <v>1000</v>
      </c>
      <c r="AE28" s="3" t="s">
        <v>4</v>
      </c>
      <c r="AF28" s="3">
        <v>1000</v>
      </c>
      <c r="AG28" s="55">
        <f t="shared" si="1"/>
        <v>2.0000000000000001E-4</v>
      </c>
      <c r="AH28" s="54"/>
    </row>
    <row r="29" spans="2:34" x14ac:dyDescent="0.25">
      <c r="B29" s="61"/>
      <c r="C29" s="17" t="s">
        <v>28</v>
      </c>
      <c r="D29" s="21"/>
      <c r="E29" s="19"/>
      <c r="F29" s="19"/>
      <c r="G29" s="19"/>
      <c r="H29" s="19"/>
      <c r="I29" s="18" t="str">
        <f>IF(AND($AB$12&lt;=$AC29,$AB$12&gt;=$AD29),TEXT(ROUND($AG29-(($AG29*0.0002) +0.02),2),"##0.00") &amp;" " &amp;  $AE29,"")</f>
        <v/>
      </c>
      <c r="J29" s="19"/>
      <c r="K29" s="20"/>
      <c r="L29" s="7"/>
      <c r="M29" s="61"/>
      <c r="N29" s="17" t="s">
        <v>28</v>
      </c>
      <c r="O29" s="21"/>
      <c r="P29" s="19"/>
      <c r="Q29" s="19"/>
      <c r="R29" s="19"/>
      <c r="S29" s="19"/>
      <c r="T29" s="42"/>
      <c r="U29" s="19"/>
      <c r="V29" s="20"/>
      <c r="Y29" s="3"/>
      <c r="Z29" s="3"/>
      <c r="AA29" s="3"/>
      <c r="AB29" s="3"/>
      <c r="AC29" s="3">
        <f t="shared" si="2"/>
        <v>200000</v>
      </c>
      <c r="AD29" s="3">
        <f t="shared" si="0"/>
        <v>1000</v>
      </c>
      <c r="AE29" s="3" t="s">
        <v>4</v>
      </c>
      <c r="AF29" s="3">
        <v>1000</v>
      </c>
      <c r="AG29" s="55">
        <f t="shared" si="1"/>
        <v>2.0000000000000001E-4</v>
      </c>
      <c r="AH29" s="54"/>
    </row>
    <row r="30" spans="2:34" x14ac:dyDescent="0.25">
      <c r="B30" s="58" t="s">
        <v>25</v>
      </c>
      <c r="C30" s="22" t="s">
        <v>27</v>
      </c>
      <c r="D30" s="35"/>
      <c r="E30" s="25"/>
      <c r="F30" s="25"/>
      <c r="G30" s="25"/>
      <c r="H30" s="25"/>
      <c r="I30" s="25"/>
      <c r="J30" s="12" t="str">
        <f>IF(AND($AB$12&lt;=$AC30,$AB$12&gt;=$AD30),TEXT(ROUND($AG30+(($AG30*0.0004) +0.0002),4),"0.0000") &amp;" " &amp;  $AE30,"")</f>
        <v/>
      </c>
      <c r="K30" s="26"/>
      <c r="L30" s="7"/>
      <c r="M30" s="60" t="s">
        <v>25</v>
      </c>
      <c r="N30" s="11" t="s">
        <v>27</v>
      </c>
      <c r="O30" s="35"/>
      <c r="P30" s="25"/>
      <c r="Q30" s="25"/>
      <c r="R30" s="25"/>
      <c r="S30" s="25"/>
      <c r="T30" s="25"/>
      <c r="U30" s="45"/>
      <c r="V30" s="26"/>
      <c r="Y30" s="3"/>
      <c r="Z30" s="3"/>
      <c r="AA30" s="3"/>
      <c r="AB30" s="3"/>
      <c r="AC30" s="3">
        <f t="shared" si="2"/>
        <v>2000000</v>
      </c>
      <c r="AD30" s="3">
        <f t="shared" si="0"/>
        <v>10000</v>
      </c>
      <c r="AE30" s="3" t="s">
        <v>5</v>
      </c>
      <c r="AF30" s="3">
        <v>1000000</v>
      </c>
      <c r="AG30" s="55">
        <f t="shared" si="1"/>
        <v>2.0000000000000002E-7</v>
      </c>
      <c r="AH30" s="54"/>
    </row>
    <row r="31" spans="2:34" x14ac:dyDescent="0.25">
      <c r="B31" s="59"/>
      <c r="C31" s="29" t="s">
        <v>28</v>
      </c>
      <c r="D31" s="35"/>
      <c r="E31" s="25"/>
      <c r="F31" s="25"/>
      <c r="G31" s="25"/>
      <c r="H31" s="25"/>
      <c r="I31" s="25"/>
      <c r="J31" s="18" t="str">
        <f>IF(AND($AB$12&lt;=$AC31,$AB$12&gt;=$AD31),TEXT(ROUND($AG31-(($AG31*0.0004) +0.0002),4),"0.0000") &amp;" " &amp;  $AE31,"")</f>
        <v/>
      </c>
      <c r="K31" s="26"/>
      <c r="L31" s="7"/>
      <c r="M31" s="61"/>
      <c r="N31" s="17" t="s">
        <v>28</v>
      </c>
      <c r="O31" s="35"/>
      <c r="P31" s="25"/>
      <c r="Q31" s="25"/>
      <c r="R31" s="25"/>
      <c r="S31" s="25"/>
      <c r="T31" s="25"/>
      <c r="U31" s="45"/>
      <c r="V31" s="26"/>
      <c r="Y31" s="3"/>
      <c r="Z31" s="3"/>
      <c r="AA31" s="3"/>
      <c r="AB31" s="3"/>
      <c r="AC31" s="3">
        <f t="shared" si="2"/>
        <v>2000000</v>
      </c>
      <c r="AD31" s="3">
        <f t="shared" si="0"/>
        <v>10000</v>
      </c>
      <c r="AE31" s="3" t="s">
        <v>5</v>
      </c>
      <c r="AF31" s="3">
        <v>1000000</v>
      </c>
      <c r="AG31" s="55">
        <f t="shared" si="1"/>
        <v>2.0000000000000002E-7</v>
      </c>
      <c r="AH31" s="54"/>
    </row>
    <row r="32" spans="2:34" x14ac:dyDescent="0.25">
      <c r="B32" s="60" t="s">
        <v>26</v>
      </c>
      <c r="C32" s="11" t="s">
        <v>27</v>
      </c>
      <c r="D32" s="21"/>
      <c r="E32" s="19"/>
      <c r="F32" s="19"/>
      <c r="G32" s="19"/>
      <c r="H32" s="19"/>
      <c r="I32" s="19"/>
      <c r="J32" s="19"/>
      <c r="K32" s="12" t="str">
        <f>IF(AND($AB$12&lt;=$AC32,$AB$12&gt;=$AD32),TEXT(ROUND($AG32+(($AG32*0.0004) +0.002),3),"#0.000") &amp;" " &amp;  $AE32,"")</f>
        <v/>
      </c>
      <c r="L32" s="7"/>
      <c r="M32" s="60" t="s">
        <v>26</v>
      </c>
      <c r="N32" s="11" t="s">
        <v>27</v>
      </c>
      <c r="O32" s="21"/>
      <c r="P32" s="19"/>
      <c r="Q32" s="19"/>
      <c r="R32" s="19"/>
      <c r="S32" s="19"/>
      <c r="T32" s="19"/>
      <c r="U32" s="19"/>
      <c r="V32" s="48"/>
      <c r="Y32" s="3"/>
      <c r="Z32" s="3"/>
      <c r="AA32" s="3"/>
      <c r="AB32" s="3"/>
      <c r="AC32" s="3">
        <f t="shared" si="2"/>
        <v>20000000</v>
      </c>
      <c r="AD32" s="3">
        <f t="shared" si="0"/>
        <v>100000</v>
      </c>
      <c r="AE32" s="3" t="s">
        <v>5</v>
      </c>
      <c r="AF32" s="3">
        <v>1000000</v>
      </c>
      <c r="AG32" s="55">
        <f t="shared" si="1"/>
        <v>2.0000000000000002E-7</v>
      </c>
      <c r="AH32" s="54"/>
    </row>
    <row r="33" spans="2:34" x14ac:dyDescent="0.25">
      <c r="B33" s="61"/>
      <c r="C33" s="17" t="s">
        <v>28</v>
      </c>
      <c r="D33" s="49"/>
      <c r="E33" s="50"/>
      <c r="F33" s="50"/>
      <c r="G33" s="50"/>
      <c r="H33" s="50"/>
      <c r="I33" s="50"/>
      <c r="J33" s="50"/>
      <c r="K33" s="18" t="str">
        <f>IF(AND($AB$12&lt;=$AC33,$AB$12&gt;=$AD33),TEXT(ROUND($AG33-(($AG33*0.0004) +0.002),3),"#0.000") &amp;" " &amp;  $AE33,"")</f>
        <v/>
      </c>
      <c r="L33" s="7"/>
      <c r="M33" s="61"/>
      <c r="N33" s="17" t="s">
        <v>28</v>
      </c>
      <c r="O33" s="49"/>
      <c r="P33" s="50"/>
      <c r="Q33" s="50"/>
      <c r="R33" s="50"/>
      <c r="S33" s="50"/>
      <c r="T33" s="50"/>
      <c r="U33" s="50"/>
      <c r="V33" s="51"/>
      <c r="Y33" s="3"/>
      <c r="Z33" s="3"/>
      <c r="AA33" s="3"/>
      <c r="AB33" s="3"/>
      <c r="AC33" s="3">
        <f t="shared" si="2"/>
        <v>20000000</v>
      </c>
      <c r="AD33" s="3">
        <f t="shared" si="0"/>
        <v>100000</v>
      </c>
      <c r="AE33" s="3" t="s">
        <v>5</v>
      </c>
      <c r="AF33" s="3">
        <v>1000000</v>
      </c>
      <c r="AG33" s="55">
        <f t="shared" si="1"/>
        <v>2.0000000000000002E-7</v>
      </c>
      <c r="AH33" s="54"/>
    </row>
    <row r="34" spans="2:34" ht="15" x14ac:dyDescent="0.25">
      <c r="B34" s="65" t="s">
        <v>41</v>
      </c>
      <c r="C34" s="66"/>
      <c r="D34" s="66"/>
      <c r="E34" s="66"/>
      <c r="F34" s="66"/>
      <c r="G34" s="66"/>
      <c r="H34" s="66"/>
      <c r="I34" s="66"/>
      <c r="J34" s="66"/>
      <c r="K34" s="66"/>
      <c r="L34" s="66"/>
      <c r="M34" s="66"/>
      <c r="N34" s="66"/>
      <c r="O34" s="66"/>
      <c r="P34" s="66"/>
      <c r="Q34" s="66"/>
      <c r="R34" s="67" t="s">
        <v>40</v>
      </c>
      <c r="S34" s="68"/>
      <c r="T34" s="68"/>
      <c r="U34" s="68"/>
      <c r="V34" s="68"/>
    </row>
    <row r="36" spans="2:34" ht="15" x14ac:dyDescent="0.25">
      <c r="B36" s="63"/>
      <c r="C36" s="64"/>
      <c r="D36" s="64"/>
      <c r="E36" s="64"/>
      <c r="F36" s="64"/>
      <c r="G36" s="64"/>
      <c r="H36" s="64"/>
      <c r="I36" s="64"/>
      <c r="J36" s="64"/>
      <c r="K36" s="64"/>
      <c r="L36" s="64"/>
      <c r="M36" s="64"/>
      <c r="N36" s="64"/>
      <c r="O36" s="64"/>
      <c r="P36" s="64"/>
      <c r="Q36" s="64"/>
      <c r="R36" s="64"/>
      <c r="S36" s="64"/>
      <c r="T36" s="64"/>
      <c r="U36" s="64"/>
      <c r="V36" s="64"/>
    </row>
    <row r="38" spans="2:34" x14ac:dyDescent="0.25">
      <c r="AC38" s="3">
        <f>0.002</f>
        <v>2E-3</v>
      </c>
      <c r="AD38" s="3">
        <f t="shared" ref="AD38:AD59" si="3">AC38*0.005</f>
        <v>1.0000000000000001E-5</v>
      </c>
      <c r="AE38" s="3" t="s">
        <v>2</v>
      </c>
      <c r="AF38" s="3">
        <v>1E-3</v>
      </c>
      <c r="AG38" s="55">
        <f>$AB$12/$AF38</f>
        <v>200</v>
      </c>
    </row>
    <row r="39" spans="2:34" x14ac:dyDescent="0.25">
      <c r="AC39" s="3">
        <v>2E-3</v>
      </c>
      <c r="AD39" s="3">
        <f t="shared" si="3"/>
        <v>1.0000000000000001E-5</v>
      </c>
      <c r="AE39" s="3" t="s">
        <v>2</v>
      </c>
      <c r="AF39" s="3">
        <v>1E-3</v>
      </c>
      <c r="AG39" s="55">
        <f t="shared" ref="AG39:AG59" si="4">$AB$12/$AF39</f>
        <v>200</v>
      </c>
    </row>
    <row r="40" spans="2:34" x14ac:dyDescent="0.25">
      <c r="AC40" s="3">
        <f>AC38*10</f>
        <v>0.02</v>
      </c>
      <c r="AD40" s="3">
        <f t="shared" si="3"/>
        <v>1E-4</v>
      </c>
      <c r="AE40" s="3" t="s">
        <v>2</v>
      </c>
      <c r="AF40" s="3">
        <v>1E-3</v>
      </c>
      <c r="AG40" s="55">
        <f t="shared" si="4"/>
        <v>200</v>
      </c>
    </row>
    <row r="41" spans="2:34" x14ac:dyDescent="0.25">
      <c r="AC41" s="3">
        <f t="shared" ref="AC41:AC59" si="5">AC39*10</f>
        <v>0.02</v>
      </c>
      <c r="AD41" s="3">
        <f t="shared" si="3"/>
        <v>1E-4</v>
      </c>
      <c r="AE41" s="3" t="s">
        <v>2</v>
      </c>
      <c r="AF41" s="3">
        <v>1E-3</v>
      </c>
      <c r="AG41" s="55">
        <f t="shared" si="4"/>
        <v>200</v>
      </c>
    </row>
    <row r="42" spans="2:34" x14ac:dyDescent="0.25">
      <c r="AC42" s="3">
        <f t="shared" si="5"/>
        <v>0.2</v>
      </c>
      <c r="AD42" s="3">
        <f t="shared" si="3"/>
        <v>1E-3</v>
      </c>
      <c r="AE42" s="3" t="s">
        <v>2</v>
      </c>
      <c r="AF42" s="3">
        <v>1E-3</v>
      </c>
      <c r="AG42" s="55">
        <f t="shared" si="4"/>
        <v>200</v>
      </c>
    </row>
    <row r="43" spans="2:34" x14ac:dyDescent="0.25">
      <c r="AC43" s="3">
        <f t="shared" si="5"/>
        <v>0.2</v>
      </c>
      <c r="AD43" s="3">
        <f t="shared" si="3"/>
        <v>1E-3</v>
      </c>
      <c r="AE43" s="3" t="s">
        <v>2</v>
      </c>
      <c r="AF43" s="3">
        <v>1E-3</v>
      </c>
      <c r="AG43" s="55">
        <f t="shared" si="4"/>
        <v>200</v>
      </c>
    </row>
    <row r="44" spans="2:34" x14ac:dyDescent="0.25">
      <c r="AC44" s="3">
        <f t="shared" si="5"/>
        <v>2</v>
      </c>
      <c r="AD44" s="3">
        <f t="shared" si="3"/>
        <v>0.01</v>
      </c>
      <c r="AE44" s="3" t="s">
        <v>3</v>
      </c>
      <c r="AF44" s="3">
        <v>1</v>
      </c>
      <c r="AG44" s="55">
        <f t="shared" si="4"/>
        <v>0.2</v>
      </c>
    </row>
    <row r="45" spans="2:34" x14ac:dyDescent="0.25">
      <c r="AC45" s="3">
        <f t="shared" si="5"/>
        <v>2</v>
      </c>
      <c r="AD45" s="3">
        <f t="shared" si="3"/>
        <v>0.01</v>
      </c>
      <c r="AE45" s="3" t="s">
        <v>3</v>
      </c>
      <c r="AF45" s="3">
        <v>1</v>
      </c>
      <c r="AG45" s="55">
        <f t="shared" si="4"/>
        <v>0.2</v>
      </c>
    </row>
    <row r="46" spans="2:34" x14ac:dyDescent="0.25">
      <c r="AC46" s="3">
        <f t="shared" si="5"/>
        <v>20</v>
      </c>
      <c r="AD46" s="3">
        <f t="shared" si="3"/>
        <v>0.1</v>
      </c>
      <c r="AE46" s="3" t="s">
        <v>3</v>
      </c>
      <c r="AF46" s="3">
        <v>1</v>
      </c>
      <c r="AG46" s="55">
        <f t="shared" si="4"/>
        <v>0.2</v>
      </c>
    </row>
    <row r="47" spans="2:34" x14ac:dyDescent="0.25">
      <c r="AC47" s="3">
        <f t="shared" si="5"/>
        <v>20</v>
      </c>
      <c r="AD47" s="3">
        <f t="shared" si="3"/>
        <v>0.1</v>
      </c>
      <c r="AE47" s="3" t="s">
        <v>3</v>
      </c>
      <c r="AF47" s="3">
        <v>1</v>
      </c>
      <c r="AG47" s="55">
        <f t="shared" si="4"/>
        <v>0.2</v>
      </c>
    </row>
    <row r="48" spans="2:34" x14ac:dyDescent="0.25">
      <c r="AC48" s="3">
        <f t="shared" si="5"/>
        <v>200</v>
      </c>
      <c r="AD48" s="3">
        <f t="shared" si="3"/>
        <v>1</v>
      </c>
      <c r="AE48" s="3" t="s">
        <v>3</v>
      </c>
      <c r="AF48" s="3">
        <v>1</v>
      </c>
      <c r="AG48" s="55">
        <f t="shared" si="4"/>
        <v>0.2</v>
      </c>
    </row>
    <row r="49" spans="29:33" x14ac:dyDescent="0.25">
      <c r="AC49" s="3">
        <f t="shared" si="5"/>
        <v>200</v>
      </c>
      <c r="AD49" s="3">
        <f t="shared" si="3"/>
        <v>1</v>
      </c>
      <c r="AE49" s="3" t="s">
        <v>3</v>
      </c>
      <c r="AF49" s="3">
        <v>1</v>
      </c>
      <c r="AG49" s="55">
        <f t="shared" si="4"/>
        <v>0.2</v>
      </c>
    </row>
    <row r="50" spans="29:33" x14ac:dyDescent="0.25">
      <c r="AC50" s="3">
        <f t="shared" si="5"/>
        <v>2000</v>
      </c>
      <c r="AD50" s="3">
        <f t="shared" si="3"/>
        <v>10</v>
      </c>
      <c r="AE50" s="3" t="s">
        <v>4</v>
      </c>
      <c r="AF50" s="3">
        <v>1000</v>
      </c>
      <c r="AG50" s="55">
        <f t="shared" si="4"/>
        <v>2.0000000000000001E-4</v>
      </c>
    </row>
    <row r="51" spans="29:33" x14ac:dyDescent="0.25">
      <c r="AC51" s="3">
        <f t="shared" si="5"/>
        <v>2000</v>
      </c>
      <c r="AD51" s="3">
        <f t="shared" si="3"/>
        <v>10</v>
      </c>
      <c r="AE51" s="3" t="s">
        <v>4</v>
      </c>
      <c r="AF51" s="3">
        <v>1000</v>
      </c>
      <c r="AG51" s="55">
        <f t="shared" si="4"/>
        <v>2.0000000000000001E-4</v>
      </c>
    </row>
    <row r="52" spans="29:33" x14ac:dyDescent="0.25">
      <c r="AC52" s="3">
        <f t="shared" si="5"/>
        <v>20000</v>
      </c>
      <c r="AD52" s="3">
        <f t="shared" si="3"/>
        <v>100</v>
      </c>
      <c r="AE52" s="3" t="s">
        <v>4</v>
      </c>
      <c r="AF52" s="3">
        <v>1000</v>
      </c>
      <c r="AG52" s="55">
        <f t="shared" si="4"/>
        <v>2.0000000000000001E-4</v>
      </c>
    </row>
    <row r="53" spans="29:33" x14ac:dyDescent="0.25">
      <c r="AC53" s="3">
        <f t="shared" si="5"/>
        <v>20000</v>
      </c>
      <c r="AD53" s="3">
        <f t="shared" si="3"/>
        <v>100</v>
      </c>
      <c r="AE53" s="3" t="s">
        <v>4</v>
      </c>
      <c r="AF53" s="3">
        <v>1000</v>
      </c>
      <c r="AG53" s="55">
        <f t="shared" si="4"/>
        <v>2.0000000000000001E-4</v>
      </c>
    </row>
    <row r="54" spans="29:33" x14ac:dyDescent="0.25">
      <c r="AC54" s="3">
        <f t="shared" si="5"/>
        <v>200000</v>
      </c>
      <c r="AD54" s="3">
        <f t="shared" si="3"/>
        <v>1000</v>
      </c>
      <c r="AE54" s="3" t="s">
        <v>4</v>
      </c>
      <c r="AF54" s="3">
        <v>1000</v>
      </c>
      <c r="AG54" s="55">
        <f t="shared" si="4"/>
        <v>2.0000000000000001E-4</v>
      </c>
    </row>
    <row r="55" spans="29:33" x14ac:dyDescent="0.25">
      <c r="AC55" s="3">
        <f t="shared" si="5"/>
        <v>200000</v>
      </c>
      <c r="AD55" s="3">
        <f t="shared" si="3"/>
        <v>1000</v>
      </c>
      <c r="AE55" s="3" t="s">
        <v>4</v>
      </c>
      <c r="AF55" s="3">
        <v>1000</v>
      </c>
      <c r="AG55" s="55">
        <f t="shared" si="4"/>
        <v>2.0000000000000001E-4</v>
      </c>
    </row>
    <row r="56" spans="29:33" x14ac:dyDescent="0.25">
      <c r="AC56" s="3">
        <f t="shared" si="5"/>
        <v>2000000</v>
      </c>
      <c r="AD56" s="3">
        <f t="shared" si="3"/>
        <v>10000</v>
      </c>
      <c r="AE56" s="3" t="s">
        <v>5</v>
      </c>
      <c r="AF56" s="3">
        <v>1000000</v>
      </c>
      <c r="AG56" s="55">
        <f t="shared" si="4"/>
        <v>2.0000000000000002E-7</v>
      </c>
    </row>
    <row r="57" spans="29:33" x14ac:dyDescent="0.25">
      <c r="AC57" s="3">
        <f t="shared" si="5"/>
        <v>2000000</v>
      </c>
      <c r="AD57" s="3">
        <f t="shared" si="3"/>
        <v>10000</v>
      </c>
      <c r="AE57" s="3" t="s">
        <v>5</v>
      </c>
      <c r="AF57" s="3">
        <v>1000000</v>
      </c>
      <c r="AG57" s="55">
        <f t="shared" si="4"/>
        <v>2.0000000000000002E-7</v>
      </c>
    </row>
    <row r="58" spans="29:33" x14ac:dyDescent="0.25">
      <c r="AC58" s="3">
        <f t="shared" si="5"/>
        <v>20000000</v>
      </c>
      <c r="AD58" s="3">
        <f t="shared" si="3"/>
        <v>100000</v>
      </c>
      <c r="AE58" s="3" t="s">
        <v>5</v>
      </c>
      <c r="AF58" s="3">
        <v>1000000</v>
      </c>
      <c r="AG58" s="55">
        <f t="shared" si="4"/>
        <v>2.0000000000000002E-7</v>
      </c>
    </row>
    <row r="59" spans="29:33" x14ac:dyDescent="0.25">
      <c r="AC59" s="3">
        <f t="shared" si="5"/>
        <v>20000000</v>
      </c>
      <c r="AD59" s="3">
        <f t="shared" si="3"/>
        <v>100000</v>
      </c>
      <c r="AE59" s="3" t="s">
        <v>5</v>
      </c>
      <c r="AF59" s="3">
        <v>1000000</v>
      </c>
      <c r="AG59" s="55">
        <f t="shared" si="4"/>
        <v>2.0000000000000002E-7</v>
      </c>
    </row>
  </sheetData>
  <sheetProtection password="8E36" sheet="1" objects="1" scenarios="1" selectLockedCells="1"/>
  <mergeCells count="34">
    <mergeCell ref="M16:M17"/>
    <mergeCell ref="B9:K9"/>
    <mergeCell ref="M9:V9"/>
    <mergeCell ref="B10:B11"/>
    <mergeCell ref="C10:C11"/>
    <mergeCell ref="D10:K10"/>
    <mergeCell ref="M10:M11"/>
    <mergeCell ref="N10:N11"/>
    <mergeCell ref="O10:V10"/>
    <mergeCell ref="B36:V36"/>
    <mergeCell ref="B24:B25"/>
    <mergeCell ref="M24:M25"/>
    <mergeCell ref="B26:B27"/>
    <mergeCell ref="M26:M27"/>
    <mergeCell ref="B28:B29"/>
    <mergeCell ref="M28:M29"/>
    <mergeCell ref="B34:Q34"/>
    <mergeCell ref="R34:V34"/>
    <mergeCell ref="D1:V4"/>
    <mergeCell ref="B30:B31"/>
    <mergeCell ref="M30:M31"/>
    <mergeCell ref="B32:B33"/>
    <mergeCell ref="M32:M33"/>
    <mergeCell ref="B18:B19"/>
    <mergeCell ref="M18:M19"/>
    <mergeCell ref="B20:B21"/>
    <mergeCell ref="M20:M21"/>
    <mergeCell ref="B22:B23"/>
    <mergeCell ref="M22:M23"/>
    <mergeCell ref="B12:B13"/>
    <mergeCell ref="M12:M13"/>
    <mergeCell ref="B14:B15"/>
    <mergeCell ref="M14:M15"/>
    <mergeCell ref="B16:B17"/>
  </mergeCells>
  <conditionalFormatting sqref="D12:D17 E14:E19 F18:F23 G20:G25 H22:H27 I26:I29 J30:J31 K32:K33">
    <cfRule type="containsText" dxfId="1" priority="2" operator="containsText" text="Ω">
      <formula>NOT(ISERROR(SEARCH("Ω",D12)))</formula>
    </cfRule>
  </conditionalFormatting>
  <conditionalFormatting sqref="O16:O17 P18:P19 Q20:Q23 R22:R25 S24:S27">
    <cfRule type="containsText" dxfId="0" priority="1" operator="containsText" text="Ω">
      <formula>NOT(ISERROR(SEARCH("Ω",O16)))</formula>
    </cfRule>
  </conditionalFormatting>
  <dataValidations count="2">
    <dataValidation type="list" allowBlank="1" showInputMessage="1" showErrorMessage="1" sqref="C8">
      <formula1>$Y$12:$Y$15</formula1>
    </dataValidation>
    <dataValidation type="list" allowBlank="1" showInputMessage="1" showErrorMessage="1" errorTitle="Invalid Units Value" error="Please select a valid units value from the dropdown list." sqref="C7">
      <formula1>$Y$12:$Y$15</formula1>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1750 Accuracy Calculator</vt:lpstr>
      <vt:lpstr>'1750 Accuracy Calculator'!Units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Tolentino</dc:creator>
  <cp:lastModifiedBy>Greg Tolentino</cp:lastModifiedBy>
  <dcterms:created xsi:type="dcterms:W3CDTF">2016-04-26T12:20:51Z</dcterms:created>
  <dcterms:modified xsi:type="dcterms:W3CDTF">2016-05-04T14:49:34Z</dcterms:modified>
</cp:coreProperties>
</file>